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Examination 2020\2022\final dated 1042023\"/>
    </mc:Choice>
  </mc:AlternateContent>
  <xr:revisionPtr revIDLastSave="0" documentId="13_ncr:1_{0944DCD9-488E-4A06-AE3B-ADCF01FF7B79}" xr6:coauthVersionLast="47" xr6:coauthVersionMax="47" xr10:uidLastSave="{00000000-0000-0000-0000-000000000000}"/>
  <bookViews>
    <workbookView xWindow="-120" yWindow="-120" windowWidth="29040" windowHeight="15720" tabRatio="673" firstSheet="2" activeTab="15" xr2:uid="{00000000-000D-0000-FFFF-FFFF00000000}"/>
  </bookViews>
  <sheets>
    <sheet name="Sheet1" sheetId="9" state="hidden" r:id="rId1"/>
    <sheet name="Class-X Boardwise" sheetId="1" state="hidden" r:id="rId2"/>
    <sheet name="All Category" sheetId="23" r:id="rId3"/>
    <sheet name="SC" sheetId="36" r:id="rId4"/>
    <sheet name="ST" sheetId="35" r:id="rId5"/>
    <sheet name="Board" sheetId="5" state="hidden" r:id="rId6"/>
    <sheet name="Open Board" sheetId="11" state="hidden" r:id="rId7"/>
    <sheet name="TS_Final" sheetId="20" state="hidden" r:id="rId8"/>
    <sheet name="2016" sheetId="13" state="hidden" r:id="rId9"/>
    <sheet name="2015" sheetId="14" state="hidden" r:id="rId10"/>
    <sheet name="2014" sheetId="15" state="hidden" r:id="rId11"/>
    <sheet name="2013" sheetId="16" state="hidden" r:id="rId12"/>
    <sheet name="2012" sheetId="17" state="hidden" r:id="rId13"/>
    <sheet name="2011" sheetId="18" state="hidden" r:id="rId14"/>
    <sheet name="X OPEN BOARD- 2022" sheetId="43" r:id="rId15"/>
    <sheet name="TS" sheetId="44" r:id="rId16"/>
  </sheets>
  <externalReferences>
    <externalReference r:id="rId17"/>
    <externalReference r:id="rId18"/>
    <externalReference r:id="rId19"/>
  </externalReferences>
  <definedNames>
    <definedName name="_xlnm._FilterDatabase" localSheetId="1" hidden="1">'Class-X Boardwise'!$A$2:$EL$2</definedName>
    <definedName name="_xlnm.Print_Area" localSheetId="9">'2015'!$A$1:$AF$58</definedName>
    <definedName name="_xlnm.Print_Area" localSheetId="2">'All Category'!$A$1:$DD$52</definedName>
    <definedName name="_xlnm.Print_Area" localSheetId="5">Board!$A$1:$FH$55</definedName>
    <definedName name="_xlnm.Print_Area" localSheetId="3">SC!$A$1:$DD$52</definedName>
    <definedName name="_xlnm.Print_Area" localSheetId="4">ST!$A$1:$DD$52</definedName>
    <definedName name="_xlnm.Print_Area" localSheetId="7">TS_Final!$A$1:$T$44</definedName>
    <definedName name="_xlnm.Print_Area" localSheetId="14">'X OPEN BOARD- 2022'!$A$1:$BN$18</definedName>
    <definedName name="_xlnm.Print_Titles" localSheetId="13">'2011'!$A:$B,'2011'!$1:$8</definedName>
    <definedName name="_xlnm.Print_Titles" localSheetId="12">'2012'!$A:$B,'2012'!$1:$8</definedName>
    <definedName name="_xlnm.Print_Titles" localSheetId="11">'2013'!$A:$B,'2013'!$1:$8</definedName>
    <definedName name="_xlnm.Print_Titles" localSheetId="10">'2014'!$A:$B,'2014'!$1:$8</definedName>
    <definedName name="_xlnm.Print_Titles" localSheetId="9">'2015'!$A:$B,'2015'!$1:$8</definedName>
    <definedName name="_xlnm.Print_Titles" localSheetId="8">'2016'!$A:$B,'2016'!$1:$8</definedName>
    <definedName name="_xlnm.Print_Titles" localSheetId="2">'All Category'!$A:$C,'All Category'!$1:$6</definedName>
    <definedName name="_xlnm.Print_Titles" localSheetId="5">Board!$A:$B,Board!$1:$7</definedName>
    <definedName name="_xlnm.Print_Titles" localSheetId="3">SC!$A:$C,SC!$1:$6</definedName>
    <definedName name="_xlnm.Print_Titles" localSheetId="4">ST!$A:$C,ST!$1:$6</definedName>
    <definedName name="_xlnm.Print_Titles" localSheetId="7">TS_Final!$A:$B</definedName>
    <definedName name="_xlnm.Print_Titles" localSheetId="14">'X OPEN BOARD- 2022'!$A:$C</definedName>
  </definedNames>
  <calcPr calcId="191029"/>
  <pivotCaches>
    <pivotCache cacheId="0" r:id="rId20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1" l="1"/>
  <c r="Q9" i="11"/>
  <c r="N9" i="11"/>
  <c r="K9" i="11"/>
  <c r="H9" i="11"/>
  <c r="E9" i="11"/>
  <c r="DK51" i="5" l="1"/>
  <c r="DJ51" i="5"/>
  <c r="DH51" i="5"/>
  <c r="DG51" i="5"/>
  <c r="DE51" i="5"/>
  <c r="DD51" i="5"/>
  <c r="CV51" i="5"/>
  <c r="CU51" i="5"/>
  <c r="CS51" i="5"/>
  <c r="CR51" i="5"/>
  <c r="CP51" i="5"/>
  <c r="CO51" i="5"/>
  <c r="BR51" i="5"/>
  <c r="BQ51" i="5"/>
  <c r="BO51" i="5"/>
  <c r="BN51" i="5"/>
  <c r="BL51" i="5"/>
  <c r="BK51" i="5"/>
  <c r="BC51" i="5"/>
  <c r="BB51" i="5"/>
  <c r="AZ51" i="5"/>
  <c r="AY51" i="5"/>
  <c r="AW51" i="5"/>
  <c r="AV51" i="5"/>
  <c r="Y51" i="5"/>
  <c r="X51" i="5"/>
  <c r="V51" i="5"/>
  <c r="U51" i="5"/>
  <c r="S51" i="5"/>
  <c r="R51" i="5"/>
  <c r="D51" i="5"/>
  <c r="F51" i="5"/>
  <c r="G51" i="5"/>
  <c r="I51" i="5"/>
  <c r="J51" i="5"/>
  <c r="C51" i="5"/>
  <c r="EV45" i="5"/>
  <c r="EM45" i="5"/>
  <c r="E41" i="5"/>
  <c r="FE28" i="5" l="1"/>
  <c r="FE12" i="5" l="1"/>
  <c r="EV12" i="5"/>
  <c r="EM12" i="5"/>
  <c r="B44" i="20" l="1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B42" i="20"/>
  <c r="B41" i="20"/>
  <c r="B40" i="20"/>
  <c r="B39" i="20"/>
  <c r="B38" i="20"/>
  <c r="B37" i="20"/>
  <c r="O31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T25" i="20"/>
  <c r="T10" i="20" s="1"/>
  <c r="S25" i="20"/>
  <c r="S10" i="20" s="1"/>
  <c r="R25" i="20"/>
  <c r="R10" i="20" s="1"/>
  <c r="Q25" i="20"/>
  <c r="Q10" i="20" s="1"/>
  <c r="P25" i="20"/>
  <c r="P10" i="20" s="1"/>
  <c r="O25" i="20"/>
  <c r="O10" i="20" s="1"/>
  <c r="N25" i="20"/>
  <c r="N10" i="20" s="1"/>
  <c r="M25" i="20"/>
  <c r="M10" i="20" s="1"/>
  <c r="L25" i="20"/>
  <c r="L10" i="20" s="1"/>
  <c r="K25" i="20"/>
  <c r="K10" i="20" s="1"/>
  <c r="J25" i="20"/>
  <c r="J10" i="20" s="1"/>
  <c r="I25" i="20"/>
  <c r="I10" i="20" s="1"/>
  <c r="H25" i="20"/>
  <c r="H10" i="20" s="1"/>
  <c r="G25" i="20"/>
  <c r="G10" i="20" s="1"/>
  <c r="F25" i="20"/>
  <c r="F10" i="20" s="1"/>
  <c r="E25" i="20"/>
  <c r="E10" i="20" s="1"/>
  <c r="D25" i="20"/>
  <c r="D10" i="20" s="1"/>
  <c r="C25" i="20"/>
  <c r="C10" i="20" s="1"/>
  <c r="T39" i="20" s="1"/>
  <c r="S39" i="20" s="1"/>
  <c r="R39" i="20" s="1"/>
  <c r="Q39" i="20" s="1"/>
  <c r="P39" i="20" s="1"/>
  <c r="O39" i="20" s="1"/>
  <c r="N39" i="20" s="1"/>
  <c r="M39" i="20" s="1"/>
  <c r="L39" i="20" s="1"/>
  <c r="K39" i="20" s="1"/>
  <c r="J39" i="20" s="1"/>
  <c r="I39" i="20" s="1"/>
  <c r="H39" i="20" s="1"/>
  <c r="G39" i="20" s="1"/>
  <c r="F39" i="20" s="1"/>
  <c r="E39" i="20" s="1"/>
  <c r="D39" i="20" s="1"/>
  <c r="C39" i="20" s="1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O16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O1" i="20"/>
  <c r="N37" i="20" l="1"/>
  <c r="H44" i="20"/>
  <c r="D38" i="20"/>
  <c r="L38" i="20"/>
  <c r="D44" i="20"/>
  <c r="L44" i="20"/>
  <c r="T44" i="20"/>
  <c r="I44" i="20"/>
  <c r="E37" i="20"/>
  <c r="S38" i="20"/>
  <c r="S44" i="20"/>
  <c r="O37" i="20"/>
  <c r="E44" i="20"/>
  <c r="H37" i="20"/>
  <c r="N38" i="20"/>
  <c r="I37" i="20"/>
  <c r="O38" i="20"/>
  <c r="O44" i="20"/>
  <c r="K44" i="20"/>
  <c r="E38" i="20"/>
  <c r="F38" i="20"/>
  <c r="F44" i="20"/>
  <c r="Q37" i="20"/>
  <c r="R37" i="20"/>
  <c r="P38" i="20"/>
  <c r="K38" i="20"/>
  <c r="C44" i="20"/>
  <c r="G37" i="20"/>
  <c r="M44" i="20"/>
  <c r="C38" i="20"/>
  <c r="N44" i="20"/>
  <c r="T38" i="20"/>
  <c r="G38" i="20"/>
  <c r="J37" i="20"/>
  <c r="H38" i="20"/>
  <c r="C37" i="20"/>
  <c r="K37" i="20"/>
  <c r="S37" i="20"/>
  <c r="I38" i="20"/>
  <c r="Q38" i="20"/>
  <c r="M37" i="20"/>
  <c r="M38" i="20"/>
  <c r="P37" i="20"/>
  <c r="J38" i="20"/>
  <c r="R38" i="20"/>
  <c r="F37" i="20"/>
  <c r="P44" i="20"/>
  <c r="Q44" i="20"/>
  <c r="J44" i="20"/>
  <c r="R44" i="20"/>
  <c r="G44" i="20"/>
  <c r="D37" i="20"/>
  <c r="L37" i="20"/>
  <c r="T37" i="20"/>
  <c r="R1" i="13"/>
  <c r="C1" i="11" l="1"/>
  <c r="R55" i="5"/>
  <c r="AG55" i="5" s="1"/>
  <c r="AV55" i="5" s="1"/>
  <c r="BK55" i="5" s="1"/>
  <c r="BZ55" i="5" s="1"/>
  <c r="CO55" i="5" s="1"/>
  <c r="DD55" i="5" s="1"/>
  <c r="DS55" i="5" s="1"/>
  <c r="EQ55" i="5" l="1"/>
  <c r="EZ55" i="5" s="1"/>
  <c r="EH55" i="5"/>
  <c r="R54" i="5"/>
  <c r="AG54" i="5" s="1"/>
  <c r="AV54" i="5" s="1"/>
  <c r="BK54" i="5" s="1"/>
  <c r="BZ54" i="5" s="1"/>
  <c r="CO54" i="5" s="1"/>
  <c r="DD54" i="5" s="1"/>
  <c r="DS54" i="5" s="1"/>
  <c r="R53" i="5"/>
  <c r="AG53" i="5" s="1"/>
  <c r="AV53" i="5" s="1"/>
  <c r="BK53" i="5" s="1"/>
  <c r="BZ53" i="5" s="1"/>
  <c r="CO53" i="5" s="1"/>
  <c r="DD53" i="5" s="1"/>
  <c r="DS53" i="5" s="1"/>
  <c r="R52" i="5"/>
  <c r="AG52" i="5" s="1"/>
  <c r="AV52" i="5" s="1"/>
  <c r="BK52" i="5" s="1"/>
  <c r="BZ52" i="5" s="1"/>
  <c r="CO52" i="5" s="1"/>
  <c r="DD52" i="5" s="1"/>
  <c r="DS52" i="5" s="1"/>
  <c r="EH54" i="5" l="1"/>
  <c r="EQ54" i="5"/>
  <c r="EZ54" i="5" s="1"/>
  <c r="EH53" i="5"/>
  <c r="EQ53" i="5"/>
  <c r="EZ53" i="5" s="1"/>
  <c r="EH52" i="5"/>
  <c r="EQ52" i="5"/>
  <c r="EZ52" i="5" s="1"/>
  <c r="Z44" i="13"/>
  <c r="W44" i="13"/>
  <c r="DS18" i="5"/>
  <c r="DT18" i="5"/>
  <c r="AG18" i="5"/>
  <c r="AH18" i="5"/>
  <c r="AJ18" i="5"/>
  <c r="AK18" i="5"/>
  <c r="AM18" i="5"/>
  <c r="AN18" i="5"/>
  <c r="BZ18" i="5"/>
  <c r="CA18" i="5"/>
  <c r="CC18" i="5"/>
  <c r="CD18" i="5"/>
  <c r="CF18" i="5"/>
  <c r="CG18" i="5"/>
  <c r="AS14" i="11"/>
  <c r="AT14" i="11"/>
  <c r="AR14" i="11"/>
  <c r="AJ14" i="11"/>
  <c r="AK14" i="11"/>
  <c r="AI14" i="11"/>
  <c r="Y14" i="11"/>
  <c r="X14" i="11"/>
  <c r="S14" i="11"/>
  <c r="R14" i="11"/>
  <c r="P14" i="11"/>
  <c r="O14" i="11"/>
  <c r="M14" i="11"/>
  <c r="L14" i="11"/>
  <c r="H14" i="11"/>
  <c r="Y59" i="13"/>
  <c r="X59" i="13"/>
  <c r="M59" i="13"/>
  <c r="L59" i="13"/>
  <c r="G59" i="13"/>
  <c r="S59" i="13" s="1"/>
  <c r="F59" i="13"/>
  <c r="R59" i="13" s="1"/>
  <c r="D59" i="13"/>
  <c r="C59" i="13"/>
  <c r="Y51" i="14"/>
  <c r="X51" i="14"/>
  <c r="I52" i="14"/>
  <c r="J52" i="14"/>
  <c r="K52" i="14"/>
  <c r="P46" i="14"/>
  <c r="O46" i="14"/>
  <c r="M51" i="14"/>
  <c r="L51" i="14"/>
  <c r="G51" i="14"/>
  <c r="S51" i="14" s="1"/>
  <c r="F51" i="14"/>
  <c r="R51" i="14" s="1"/>
  <c r="D51" i="14"/>
  <c r="D52" i="14" s="1"/>
  <c r="C51" i="14"/>
  <c r="M51" i="15"/>
  <c r="L51" i="15"/>
  <c r="G51" i="15"/>
  <c r="S51" i="15" s="1"/>
  <c r="F51" i="15"/>
  <c r="D51" i="15"/>
  <c r="Y51" i="15"/>
  <c r="X51" i="15"/>
  <c r="C51" i="15"/>
  <c r="CY9" i="5"/>
  <c r="CY37" i="5"/>
  <c r="CY12" i="5"/>
  <c r="CY23" i="5"/>
  <c r="CY21" i="5"/>
  <c r="CY26" i="5"/>
  <c r="CY38" i="5"/>
  <c r="CY39" i="5"/>
  <c r="CY48" i="5"/>
  <c r="CY49" i="5"/>
  <c r="CY40" i="5"/>
  <c r="CY41" i="5"/>
  <c r="CY50" i="5"/>
  <c r="CY43" i="5"/>
  <c r="CY42" i="5"/>
  <c r="CY27" i="5"/>
  <c r="CY28" i="5"/>
  <c r="CY30" i="5"/>
  <c r="CY29" i="5"/>
  <c r="CY46" i="5"/>
  <c r="CY32" i="5"/>
  <c r="CY33" i="5"/>
  <c r="CY34" i="5"/>
  <c r="CY47" i="5"/>
  <c r="CY36" i="5"/>
  <c r="CY22" i="5"/>
  <c r="CY24" i="5"/>
  <c r="CY31" i="5"/>
  <c r="CY35" i="5"/>
  <c r="CY20" i="5"/>
  <c r="CY18" i="5"/>
  <c r="CY14" i="5"/>
  <c r="CY15" i="5"/>
  <c r="CY16" i="5"/>
  <c r="CY13" i="5"/>
  <c r="CY10" i="5"/>
  <c r="E51" i="15" l="1"/>
  <c r="Q14" i="11"/>
  <c r="N51" i="15"/>
  <c r="Q51" i="15" s="1"/>
  <c r="AD51" i="14"/>
  <c r="Z51" i="14"/>
  <c r="N51" i="14"/>
  <c r="CY51" i="5"/>
  <c r="T14" i="11"/>
  <c r="E59" i="13"/>
  <c r="Z59" i="13"/>
  <c r="E14" i="11"/>
  <c r="Z14" i="11"/>
  <c r="AE59" i="13"/>
  <c r="Z51" i="15"/>
  <c r="E51" i="14"/>
  <c r="P51" i="14"/>
  <c r="AE51" i="14"/>
  <c r="O51" i="14"/>
  <c r="H51" i="14"/>
  <c r="T51" i="14" s="1"/>
  <c r="AD59" i="13"/>
  <c r="N59" i="13"/>
  <c r="H59" i="13"/>
  <c r="T59" i="13" s="1"/>
  <c r="AE51" i="15"/>
  <c r="H51" i="15"/>
  <c r="T51" i="15" s="1"/>
  <c r="R51" i="15"/>
  <c r="AD51" i="15" s="1"/>
  <c r="U9" i="11"/>
  <c r="V9" i="11"/>
  <c r="U10" i="11"/>
  <c r="V10" i="11"/>
  <c r="U11" i="11"/>
  <c r="V11" i="11"/>
  <c r="U12" i="11"/>
  <c r="V12" i="11"/>
  <c r="U13" i="11"/>
  <c r="V13" i="11"/>
  <c r="U14" i="11"/>
  <c r="AA14" i="11" s="1"/>
  <c r="V14" i="11"/>
  <c r="AB14" i="11" s="1"/>
  <c r="W14" i="11"/>
  <c r="V8" i="11"/>
  <c r="FE15" i="5"/>
  <c r="FE16" i="5"/>
  <c r="FE23" i="5"/>
  <c r="FE31" i="5"/>
  <c r="FE35" i="5"/>
  <c r="FE20" i="5"/>
  <c r="FE18" i="5"/>
  <c r="FE21" i="5"/>
  <c r="FE22" i="5"/>
  <c r="FE24" i="5"/>
  <c r="FE26" i="5"/>
  <c r="FE27" i="5"/>
  <c r="FE30" i="5"/>
  <c r="FE29" i="5"/>
  <c r="FE33" i="5"/>
  <c r="FE34" i="5"/>
  <c r="FE47" i="5"/>
  <c r="FE36" i="5"/>
  <c r="FE38" i="5"/>
  <c r="FE39" i="5"/>
  <c r="FE48" i="5"/>
  <c r="FE49" i="5"/>
  <c r="FE40" i="5"/>
  <c r="FE41" i="5"/>
  <c r="FE43" i="5"/>
  <c r="FE10" i="5"/>
  <c r="DV34" i="5"/>
  <c r="DW34" i="5"/>
  <c r="DY34" i="5"/>
  <c r="DZ34" i="5"/>
  <c r="EA34" i="5"/>
  <c r="DS30" i="5"/>
  <c r="DT30" i="5"/>
  <c r="DV30" i="5"/>
  <c r="DW30" i="5"/>
  <c r="DY30" i="5"/>
  <c r="DZ30" i="5"/>
  <c r="CX34" i="5"/>
  <c r="BZ10" i="5"/>
  <c r="CA10" i="5"/>
  <c r="T17" i="5"/>
  <c r="Y51" i="18"/>
  <c r="X51" i="18"/>
  <c r="V51" i="18"/>
  <c r="U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O46" i="18"/>
  <c r="P46" i="18"/>
  <c r="Q46" i="18"/>
  <c r="O47" i="18"/>
  <c r="P47" i="18"/>
  <c r="Q47" i="18"/>
  <c r="O48" i="18"/>
  <c r="P48" i="18"/>
  <c r="Q48" i="18"/>
  <c r="O49" i="18"/>
  <c r="P49" i="18"/>
  <c r="Q49" i="18"/>
  <c r="O50" i="18"/>
  <c r="P50" i="18"/>
  <c r="Q50" i="18"/>
  <c r="P45" i="18"/>
  <c r="Q45" i="18"/>
  <c r="O45" i="18"/>
  <c r="S38" i="18"/>
  <c r="Z31" i="18"/>
  <c r="W31" i="18"/>
  <c r="Z29" i="18"/>
  <c r="W29" i="18"/>
  <c r="S29" i="18"/>
  <c r="R29" i="18"/>
  <c r="N51" i="17"/>
  <c r="M51" i="17"/>
  <c r="L51" i="17"/>
  <c r="K51" i="17"/>
  <c r="J51" i="17"/>
  <c r="I51" i="17"/>
  <c r="H51" i="17"/>
  <c r="G51" i="17"/>
  <c r="F51" i="17"/>
  <c r="E51" i="17"/>
  <c r="D51" i="17"/>
  <c r="C51" i="17"/>
  <c r="O46" i="17"/>
  <c r="P46" i="17"/>
  <c r="Q46" i="17"/>
  <c r="O47" i="17"/>
  <c r="P47" i="17"/>
  <c r="Q47" i="17"/>
  <c r="O48" i="17"/>
  <c r="P48" i="17"/>
  <c r="Q48" i="17"/>
  <c r="O49" i="17"/>
  <c r="P49" i="17"/>
  <c r="Q49" i="17"/>
  <c r="O50" i="17"/>
  <c r="P50" i="17"/>
  <c r="Q50" i="17"/>
  <c r="P45" i="17"/>
  <c r="Q45" i="17"/>
  <c r="O45" i="17"/>
  <c r="Y43" i="17"/>
  <c r="Y51" i="17" s="1"/>
  <c r="X43" i="17"/>
  <c r="X51" i="17" s="1"/>
  <c r="V43" i="17"/>
  <c r="V51" i="17" s="1"/>
  <c r="U43" i="17"/>
  <c r="U51" i="17" s="1"/>
  <c r="Z42" i="17"/>
  <c r="W42" i="17"/>
  <c r="Z41" i="17"/>
  <c r="W41" i="17"/>
  <c r="Z40" i="17"/>
  <c r="W40" i="17"/>
  <c r="Z39" i="17"/>
  <c r="W39" i="17"/>
  <c r="Z37" i="17"/>
  <c r="W37" i="17"/>
  <c r="Z36" i="17"/>
  <c r="W36" i="17"/>
  <c r="Z35" i="17"/>
  <c r="W35" i="17"/>
  <c r="Z34" i="17"/>
  <c r="W34" i="17"/>
  <c r="Z33" i="17"/>
  <c r="W33" i="17"/>
  <c r="Z32" i="17"/>
  <c r="W32" i="17"/>
  <c r="Z30" i="17"/>
  <c r="W30" i="17"/>
  <c r="Z28" i="17"/>
  <c r="W28" i="17"/>
  <c r="Z27" i="17"/>
  <c r="W27" i="17"/>
  <c r="Z26" i="17"/>
  <c r="W26" i="17"/>
  <c r="Z25" i="17"/>
  <c r="W25" i="17"/>
  <c r="Z24" i="17"/>
  <c r="W24" i="17"/>
  <c r="Z22" i="17"/>
  <c r="W22" i="17"/>
  <c r="Z21" i="17"/>
  <c r="W21" i="17"/>
  <c r="Z20" i="17"/>
  <c r="W20" i="17"/>
  <c r="Z17" i="17"/>
  <c r="W17" i="17"/>
  <c r="Z16" i="17"/>
  <c r="W16" i="17"/>
  <c r="Z15" i="17"/>
  <c r="W15" i="17"/>
  <c r="Z14" i="17"/>
  <c r="W14" i="17"/>
  <c r="Z13" i="17"/>
  <c r="W13" i="17"/>
  <c r="Z12" i="17"/>
  <c r="W12" i="17"/>
  <c r="Z10" i="17"/>
  <c r="W10" i="17"/>
  <c r="Z9" i="17"/>
  <c r="W9" i="17"/>
  <c r="Z52" i="16"/>
  <c r="Y52" i="16"/>
  <c r="X52" i="16"/>
  <c r="W52" i="16"/>
  <c r="V52" i="16"/>
  <c r="U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O47" i="16"/>
  <c r="P47" i="16"/>
  <c r="Q47" i="16"/>
  <c r="O48" i="16"/>
  <c r="P48" i="16"/>
  <c r="Q48" i="16"/>
  <c r="O49" i="16"/>
  <c r="P49" i="16"/>
  <c r="Q49" i="16"/>
  <c r="O50" i="16"/>
  <c r="P50" i="16"/>
  <c r="Q50" i="16"/>
  <c r="O51" i="16"/>
  <c r="P51" i="16"/>
  <c r="Q51" i="16"/>
  <c r="P46" i="16"/>
  <c r="Q46" i="16"/>
  <c r="O46" i="16"/>
  <c r="Y52" i="15"/>
  <c r="X52" i="15"/>
  <c r="V52" i="15"/>
  <c r="U52" i="15"/>
  <c r="K52" i="15"/>
  <c r="J52" i="15"/>
  <c r="I52" i="15"/>
  <c r="O47" i="15"/>
  <c r="P47" i="15"/>
  <c r="O48" i="15"/>
  <c r="P48" i="15"/>
  <c r="O51" i="15"/>
  <c r="P51" i="15"/>
  <c r="M50" i="15"/>
  <c r="L50" i="15"/>
  <c r="O50" i="15" s="1"/>
  <c r="M49" i="15"/>
  <c r="L49" i="15"/>
  <c r="N48" i="15"/>
  <c r="N47" i="15"/>
  <c r="N46" i="15"/>
  <c r="G50" i="15"/>
  <c r="S50" i="15" s="1"/>
  <c r="F50" i="15"/>
  <c r="E50" i="15"/>
  <c r="Z49" i="15"/>
  <c r="W49" i="15"/>
  <c r="G49" i="15"/>
  <c r="S49" i="15" s="1"/>
  <c r="F49" i="15"/>
  <c r="E49" i="15"/>
  <c r="Z48" i="15"/>
  <c r="W48" i="15"/>
  <c r="S48" i="15"/>
  <c r="AB48" i="15" s="1"/>
  <c r="R48" i="15"/>
  <c r="AA48" i="15" s="1"/>
  <c r="H48" i="15"/>
  <c r="T48" i="15" s="1"/>
  <c r="E48" i="15"/>
  <c r="S47" i="15"/>
  <c r="R47" i="15"/>
  <c r="H47" i="15"/>
  <c r="T47" i="15" s="1"/>
  <c r="E47" i="15"/>
  <c r="Z46" i="15"/>
  <c r="W46" i="15"/>
  <c r="S46" i="15"/>
  <c r="R46" i="15"/>
  <c r="AD46" i="15" s="1"/>
  <c r="H46" i="15"/>
  <c r="T46" i="15" s="1"/>
  <c r="D46" i="15"/>
  <c r="D52" i="15" s="1"/>
  <c r="C46" i="15"/>
  <c r="C52" i="15" s="1"/>
  <c r="Z34" i="15"/>
  <c r="W34" i="15"/>
  <c r="Z32" i="15"/>
  <c r="W32" i="15"/>
  <c r="S30" i="15"/>
  <c r="Z28" i="15"/>
  <c r="W28" i="15"/>
  <c r="R28" i="15"/>
  <c r="Z24" i="15"/>
  <c r="W24" i="15"/>
  <c r="Z10" i="15"/>
  <c r="W10" i="15"/>
  <c r="Z51" i="18" l="1"/>
  <c r="O52" i="16"/>
  <c r="O51" i="17"/>
  <c r="W51" i="18"/>
  <c r="AF51" i="14"/>
  <c r="Q51" i="14"/>
  <c r="F52" i="15"/>
  <c r="M52" i="15"/>
  <c r="P52" i="15" s="1"/>
  <c r="Q47" i="15"/>
  <c r="P51" i="17"/>
  <c r="O51" i="18"/>
  <c r="AF51" i="15"/>
  <c r="G52" i="15"/>
  <c r="P52" i="16"/>
  <c r="Q51" i="18"/>
  <c r="AF59" i="13"/>
  <c r="AC14" i="11"/>
  <c r="W52" i="15"/>
  <c r="N49" i="15"/>
  <c r="Q49" i="15" s="1"/>
  <c r="P51" i="18"/>
  <c r="Q52" i="16"/>
  <c r="Z52" i="15"/>
  <c r="N50" i="15"/>
  <c r="Q50" i="15" s="1"/>
  <c r="AC48" i="15"/>
  <c r="Q48" i="15"/>
  <c r="L52" i="15"/>
  <c r="O52" i="15" s="1"/>
  <c r="O49" i="15"/>
  <c r="Q51" i="17"/>
  <c r="S31" i="18"/>
  <c r="AE29" i="18"/>
  <c r="AB29" i="18"/>
  <c r="AD29" i="18"/>
  <c r="AA29" i="18"/>
  <c r="S9" i="18"/>
  <c r="R9" i="18"/>
  <c r="R38" i="18"/>
  <c r="T38" i="18"/>
  <c r="T29" i="18"/>
  <c r="AF29" i="18" s="1"/>
  <c r="Z43" i="17"/>
  <c r="Z51" i="17" s="1"/>
  <c r="T12" i="17"/>
  <c r="T25" i="17"/>
  <c r="S25" i="17"/>
  <c r="T28" i="17"/>
  <c r="R25" i="17"/>
  <c r="T26" i="17"/>
  <c r="S41" i="17"/>
  <c r="R40" i="17"/>
  <c r="S9" i="17"/>
  <c r="S12" i="17"/>
  <c r="R21" i="17"/>
  <c r="R24" i="17"/>
  <c r="S26" i="17"/>
  <c r="S28" i="17"/>
  <c r="R9" i="17"/>
  <c r="R12" i="17"/>
  <c r="S14" i="17"/>
  <c r="S16" i="17"/>
  <c r="R26" i="17"/>
  <c r="R28" i="17"/>
  <c r="S34" i="17"/>
  <c r="W43" i="17"/>
  <c r="W51" i="17" s="1"/>
  <c r="H49" i="15"/>
  <c r="T49" i="15" s="1"/>
  <c r="P46" i="15"/>
  <c r="P50" i="15"/>
  <c r="H50" i="15"/>
  <c r="T50" i="15" s="1"/>
  <c r="O46" i="15"/>
  <c r="P49" i="15"/>
  <c r="R49" i="15"/>
  <c r="AE46" i="15"/>
  <c r="AC46" i="15"/>
  <c r="E46" i="15"/>
  <c r="E52" i="15" s="1"/>
  <c r="AB46" i="15"/>
  <c r="AA46" i="15"/>
  <c r="AF48" i="15"/>
  <c r="AE48" i="15"/>
  <c r="R50" i="15"/>
  <c r="AF46" i="15"/>
  <c r="AD48" i="15"/>
  <c r="S24" i="15"/>
  <c r="S9" i="15"/>
  <c r="R32" i="15"/>
  <c r="AA28" i="15"/>
  <c r="AD28" i="15"/>
  <c r="S28" i="15"/>
  <c r="N52" i="15" l="1"/>
  <c r="Q52" i="15" s="1"/>
  <c r="S51" i="18"/>
  <c r="AC49" i="15"/>
  <c r="H52" i="15"/>
  <c r="AB31" i="18"/>
  <c r="AE31" i="18"/>
  <c r="AC29" i="18"/>
  <c r="R31" i="18"/>
  <c r="R51" i="18" s="1"/>
  <c r="AC25" i="17"/>
  <c r="AF25" i="17"/>
  <c r="T40" i="17"/>
  <c r="R42" i="17"/>
  <c r="R34" i="17"/>
  <c r="AB28" i="17"/>
  <c r="AE28" i="17"/>
  <c r="S24" i="17"/>
  <c r="S21" i="17"/>
  <c r="S35" i="17"/>
  <c r="R30" i="17"/>
  <c r="R10" i="17"/>
  <c r="R22" i="17"/>
  <c r="R20" i="17"/>
  <c r="AB25" i="17"/>
  <c r="AE25" i="17"/>
  <c r="R39" i="17"/>
  <c r="R16" i="17"/>
  <c r="S39" i="17"/>
  <c r="AE14" i="17"/>
  <c r="AB14" i="17"/>
  <c r="AA21" i="17"/>
  <c r="AD21" i="17"/>
  <c r="R35" i="17"/>
  <c r="AE41" i="17"/>
  <c r="AB41" i="17"/>
  <c r="S37" i="17"/>
  <c r="R43" i="17"/>
  <c r="S30" i="17"/>
  <c r="S27" i="17"/>
  <c r="T9" i="17"/>
  <c r="R41" i="17"/>
  <c r="S22" i="17"/>
  <c r="AD28" i="17"/>
  <c r="AA28" i="17"/>
  <c r="AB26" i="17"/>
  <c r="AE26" i="17"/>
  <c r="AA40" i="17"/>
  <c r="AD40" i="17"/>
  <c r="R32" i="17"/>
  <c r="R27" i="17"/>
  <c r="AC28" i="17"/>
  <c r="AF28" i="17"/>
  <c r="AE34" i="17"/>
  <c r="AB34" i="17"/>
  <c r="AD12" i="17"/>
  <c r="AA12" i="17"/>
  <c r="S10" i="17"/>
  <c r="R36" i="17"/>
  <c r="R14" i="17"/>
  <c r="AB12" i="17"/>
  <c r="AE12" i="17"/>
  <c r="R33" i="17"/>
  <c r="R17" i="17"/>
  <c r="R19" i="17"/>
  <c r="S32" i="17"/>
  <c r="S20" i="17"/>
  <c r="AA24" i="17"/>
  <c r="AD24" i="17"/>
  <c r="S15" i="17"/>
  <c r="S13" i="17"/>
  <c r="S40" i="17"/>
  <c r="AA25" i="17"/>
  <c r="AD25" i="17"/>
  <c r="AC12" i="17"/>
  <c r="AF12" i="17"/>
  <c r="S36" i="17"/>
  <c r="AD26" i="17"/>
  <c r="AA26" i="17"/>
  <c r="AB9" i="17"/>
  <c r="AE9" i="17"/>
  <c r="R15" i="17"/>
  <c r="S17" i="17"/>
  <c r="R13" i="17"/>
  <c r="S19" i="17"/>
  <c r="AE16" i="17"/>
  <c r="AB16" i="17"/>
  <c r="AD9" i="17"/>
  <c r="AA9" i="17"/>
  <c r="R37" i="17"/>
  <c r="S33" i="17"/>
  <c r="AC26" i="17"/>
  <c r="AF26" i="17"/>
  <c r="S9" i="16"/>
  <c r="S52" i="16" s="1"/>
  <c r="T9" i="16"/>
  <c r="T52" i="16" s="1"/>
  <c r="R9" i="16"/>
  <c r="R52" i="16" s="1"/>
  <c r="Q46" i="15"/>
  <c r="T32" i="15"/>
  <c r="T28" i="15"/>
  <c r="AE24" i="15"/>
  <c r="AB24" i="15"/>
  <c r="R34" i="15"/>
  <c r="AA32" i="15"/>
  <c r="AD32" i="15"/>
  <c r="R30" i="15"/>
  <c r="R9" i="15"/>
  <c r="R24" i="15"/>
  <c r="AB28" i="15"/>
  <c r="AE28" i="15"/>
  <c r="S34" i="15"/>
  <c r="S10" i="15"/>
  <c r="T10" i="15"/>
  <c r="S32" i="15"/>
  <c r="R10" i="15"/>
  <c r="AD51" i="18" l="1"/>
  <c r="AA51" i="18"/>
  <c r="S52" i="15"/>
  <c r="AB52" i="15" s="1"/>
  <c r="AC52" i="16"/>
  <c r="AF52" i="16"/>
  <c r="AB52" i="16"/>
  <c r="AE52" i="16"/>
  <c r="AB51" i="18"/>
  <c r="AE51" i="18"/>
  <c r="AD52" i="16"/>
  <c r="AA52" i="16"/>
  <c r="R52" i="15"/>
  <c r="T31" i="18"/>
  <c r="AA31" i="18"/>
  <c r="AD31" i="18"/>
  <c r="T9" i="18"/>
  <c r="T42" i="17"/>
  <c r="AA13" i="17"/>
  <c r="AD13" i="17"/>
  <c r="AA37" i="17"/>
  <c r="AD37" i="17"/>
  <c r="T33" i="17"/>
  <c r="AE39" i="17"/>
  <c r="AB39" i="17"/>
  <c r="AB17" i="17"/>
  <c r="AE17" i="17"/>
  <c r="S18" i="17"/>
  <c r="T37" i="17"/>
  <c r="T27" i="17"/>
  <c r="S42" i="17"/>
  <c r="AC9" i="17"/>
  <c r="AF9" i="17"/>
  <c r="AD39" i="17"/>
  <c r="AA39" i="17"/>
  <c r="AA20" i="17"/>
  <c r="AD20" i="17"/>
  <c r="AB24" i="17"/>
  <c r="AE24" i="17"/>
  <c r="AD34" i="17"/>
  <c r="AA34" i="17"/>
  <c r="T19" i="17"/>
  <c r="R18" i="17"/>
  <c r="R51" i="17" s="1"/>
  <c r="AB30" i="17"/>
  <c r="AE30" i="17"/>
  <c r="T39" i="17"/>
  <c r="T34" i="17"/>
  <c r="AA42" i="17"/>
  <c r="AD42" i="17"/>
  <c r="AF40" i="17"/>
  <c r="AC40" i="17"/>
  <c r="AA27" i="17"/>
  <c r="AD27" i="17"/>
  <c r="AE22" i="17"/>
  <c r="AB22" i="17"/>
  <c r="T41" i="17"/>
  <c r="T22" i="17"/>
  <c r="T30" i="17"/>
  <c r="AB21" i="17"/>
  <c r="AE21" i="17"/>
  <c r="S43" i="17"/>
  <c r="AA17" i="17"/>
  <c r="AD17" i="17"/>
  <c r="AD36" i="17"/>
  <c r="AA36" i="17"/>
  <c r="AA35" i="17"/>
  <c r="AD35" i="17"/>
  <c r="T10" i="17"/>
  <c r="AB33" i="17"/>
  <c r="AE33" i="17"/>
  <c r="T13" i="17"/>
  <c r="AA15" i="17"/>
  <c r="AD15" i="17"/>
  <c r="AE36" i="17"/>
  <c r="AB36" i="17"/>
  <c r="AB13" i="17"/>
  <c r="AE13" i="17"/>
  <c r="T17" i="17"/>
  <c r="T36" i="17"/>
  <c r="AD32" i="17"/>
  <c r="AA32" i="17"/>
  <c r="AA41" i="17"/>
  <c r="AD41" i="17"/>
  <c r="AB27" i="17"/>
  <c r="AE27" i="17"/>
  <c r="T35" i="17"/>
  <c r="AD16" i="17"/>
  <c r="AA16" i="17"/>
  <c r="AA22" i="17"/>
  <c r="AD22" i="17"/>
  <c r="AA10" i="17"/>
  <c r="AD10" i="17"/>
  <c r="AA30" i="17"/>
  <c r="AD30" i="17"/>
  <c r="AB35" i="17"/>
  <c r="AE35" i="17"/>
  <c r="T15" i="17"/>
  <c r="AE32" i="17"/>
  <c r="AB32" i="17"/>
  <c r="AD14" i="17"/>
  <c r="AA14" i="17"/>
  <c r="T21" i="17"/>
  <c r="T32" i="17"/>
  <c r="AA43" i="17"/>
  <c r="AD43" i="17"/>
  <c r="AB37" i="17"/>
  <c r="AE37" i="17"/>
  <c r="T16" i="17"/>
  <c r="AB40" i="17"/>
  <c r="AE40" i="17"/>
  <c r="AB15" i="17"/>
  <c r="AE15" i="17"/>
  <c r="AE20" i="17"/>
  <c r="AB20" i="17"/>
  <c r="AA33" i="17"/>
  <c r="AD33" i="17"/>
  <c r="T14" i="17"/>
  <c r="T24" i="17"/>
  <c r="AB10" i="17"/>
  <c r="AE10" i="17"/>
  <c r="T20" i="17"/>
  <c r="AF10" i="15"/>
  <c r="AC10" i="15"/>
  <c r="AA34" i="15"/>
  <c r="AD34" i="15"/>
  <c r="AB10" i="15"/>
  <c r="AE10" i="15"/>
  <c r="AF28" i="15"/>
  <c r="AC28" i="15"/>
  <c r="AA24" i="15"/>
  <c r="AD24" i="15"/>
  <c r="AA10" i="15"/>
  <c r="AD10" i="15"/>
  <c r="T30" i="15"/>
  <c r="T24" i="15"/>
  <c r="AB32" i="15"/>
  <c r="AE32" i="15"/>
  <c r="AC32" i="15"/>
  <c r="AF32" i="15"/>
  <c r="T9" i="15"/>
  <c r="AB34" i="15"/>
  <c r="AE34" i="15"/>
  <c r="T34" i="15"/>
  <c r="AE52" i="15" l="1"/>
  <c r="T51" i="18"/>
  <c r="AD52" i="15"/>
  <c r="AA52" i="15"/>
  <c r="T52" i="15"/>
  <c r="AA51" i="17"/>
  <c r="AD51" i="17"/>
  <c r="S51" i="17"/>
  <c r="AC31" i="18"/>
  <c r="AF31" i="18"/>
  <c r="AC24" i="17"/>
  <c r="AF24" i="17"/>
  <c r="AC13" i="17"/>
  <c r="AF13" i="17"/>
  <c r="AC20" i="17"/>
  <c r="AF20" i="17"/>
  <c r="T43" i="17"/>
  <c r="AF15" i="17"/>
  <c r="AC15" i="17"/>
  <c r="AF10" i="17"/>
  <c r="AC10" i="17"/>
  <c r="AF22" i="17"/>
  <c r="AC22" i="17"/>
  <c r="AF41" i="17"/>
  <c r="AC41" i="17"/>
  <c r="AC33" i="17"/>
  <c r="AF33" i="17"/>
  <c r="AF34" i="17"/>
  <c r="AC34" i="17"/>
  <c r="AC21" i="17"/>
  <c r="AF21" i="17"/>
  <c r="AC17" i="17"/>
  <c r="AF17" i="17"/>
  <c r="T18" i="17"/>
  <c r="AE42" i="17"/>
  <c r="AB42" i="17"/>
  <c r="AF27" i="17"/>
  <c r="AC27" i="17"/>
  <c r="AC14" i="17"/>
  <c r="AF14" i="17"/>
  <c r="AF30" i="17"/>
  <c r="AC30" i="17"/>
  <c r="AF39" i="17"/>
  <c r="AC39" i="17"/>
  <c r="AC42" i="17"/>
  <c r="AF42" i="17"/>
  <c r="AF32" i="17"/>
  <c r="AC32" i="17"/>
  <c r="AC35" i="17"/>
  <c r="AF35" i="17"/>
  <c r="AC37" i="17"/>
  <c r="AF37" i="17"/>
  <c r="AC16" i="17"/>
  <c r="AF16" i="17"/>
  <c r="AF36" i="17"/>
  <c r="AC36" i="17"/>
  <c r="AB43" i="17"/>
  <c r="AE43" i="17"/>
  <c r="AF34" i="15"/>
  <c r="AC34" i="15"/>
  <c r="AC24" i="15"/>
  <c r="AF24" i="15"/>
  <c r="AC51" i="18" l="1"/>
  <c r="AF51" i="18"/>
  <c r="AF52" i="15"/>
  <c r="AC52" i="15"/>
  <c r="T51" i="17"/>
  <c r="AF51" i="17" s="1"/>
  <c r="AE51" i="17"/>
  <c r="AB51" i="17"/>
  <c r="AF43" i="17"/>
  <c r="AC43" i="17"/>
  <c r="I60" i="13"/>
  <c r="J60" i="13"/>
  <c r="K60" i="13"/>
  <c r="Y52" i="14"/>
  <c r="X52" i="14"/>
  <c r="V52" i="14"/>
  <c r="U52" i="14"/>
  <c r="C52" i="14"/>
  <c r="M50" i="14"/>
  <c r="P50" i="14" s="1"/>
  <c r="L50" i="14"/>
  <c r="M48" i="14"/>
  <c r="P48" i="14" s="1"/>
  <c r="L48" i="14"/>
  <c r="O48" i="14" s="1"/>
  <c r="M47" i="14"/>
  <c r="P47" i="14" s="1"/>
  <c r="L47" i="14"/>
  <c r="N46" i="14"/>
  <c r="G50" i="14"/>
  <c r="S50" i="14" s="1"/>
  <c r="F50" i="14"/>
  <c r="E50" i="14"/>
  <c r="Z48" i="14"/>
  <c r="W48" i="14"/>
  <c r="G48" i="14"/>
  <c r="S48" i="14" s="1"/>
  <c r="AB48" i="14" s="1"/>
  <c r="F48" i="14"/>
  <c r="E48" i="14"/>
  <c r="G47" i="14"/>
  <c r="F47" i="14"/>
  <c r="E47" i="14"/>
  <c r="Z46" i="14"/>
  <c r="W46" i="14"/>
  <c r="S46" i="14"/>
  <c r="R46" i="14"/>
  <c r="AD46" i="14" s="1"/>
  <c r="H46" i="14"/>
  <c r="E46" i="14"/>
  <c r="Z32" i="14"/>
  <c r="S32" i="14"/>
  <c r="R32" i="14"/>
  <c r="Z28" i="14"/>
  <c r="W28" i="14"/>
  <c r="Z10" i="14"/>
  <c r="W10" i="14"/>
  <c r="T10" i="14"/>
  <c r="S10" i="14"/>
  <c r="R10" i="14"/>
  <c r="AC51" i="17" l="1"/>
  <c r="N47" i="14"/>
  <c r="Q47" i="14" s="1"/>
  <c r="M52" i="14"/>
  <c r="P52" i="14" s="1"/>
  <c r="W52" i="14"/>
  <c r="Q46" i="14"/>
  <c r="Z52" i="14"/>
  <c r="N50" i="14"/>
  <c r="Q50" i="14" s="1"/>
  <c r="O50" i="14"/>
  <c r="E52" i="14"/>
  <c r="G52" i="14"/>
  <c r="F52" i="14"/>
  <c r="N48" i="14"/>
  <c r="Q48" i="14" s="1"/>
  <c r="T46" i="14"/>
  <c r="AF46" i="14" s="1"/>
  <c r="O47" i="14"/>
  <c r="L52" i="14"/>
  <c r="O52" i="14" s="1"/>
  <c r="H48" i="14"/>
  <c r="T48" i="14" s="1"/>
  <c r="AC48" i="14" s="1"/>
  <c r="S47" i="14"/>
  <c r="H50" i="14"/>
  <c r="T50" i="14" s="1"/>
  <c r="AB46" i="14"/>
  <c r="H47" i="14"/>
  <c r="T47" i="14" s="1"/>
  <c r="AA46" i="14"/>
  <c r="R47" i="14"/>
  <c r="AE48" i="14"/>
  <c r="R48" i="14"/>
  <c r="AE46" i="14"/>
  <c r="R50" i="14"/>
  <c r="AF10" i="14"/>
  <c r="AE10" i="14"/>
  <c r="AB10" i="14"/>
  <c r="AD10" i="14"/>
  <c r="AA10" i="14"/>
  <c r="S30" i="14"/>
  <c r="AE32" i="14"/>
  <c r="AB32" i="14"/>
  <c r="S28" i="14"/>
  <c r="AA32" i="14"/>
  <c r="AD32" i="14"/>
  <c r="R34" i="14"/>
  <c r="AC10" i="14"/>
  <c r="N52" i="14" l="1"/>
  <c r="Q52" i="14" s="1"/>
  <c r="AC46" i="14"/>
  <c r="H52" i="14"/>
  <c r="AF48" i="14"/>
  <c r="AA48" i="14"/>
  <c r="AD48" i="14"/>
  <c r="S34" i="14"/>
  <c r="R9" i="14"/>
  <c r="T32" i="14"/>
  <c r="R28" i="14"/>
  <c r="S9" i="14"/>
  <c r="R30" i="14"/>
  <c r="AE28" i="14"/>
  <c r="AB28" i="14"/>
  <c r="S52" i="14" l="1"/>
  <c r="AB52" i="14" s="1"/>
  <c r="R52" i="14"/>
  <c r="T28" i="14"/>
  <c r="T30" i="14"/>
  <c r="AA28" i="14"/>
  <c r="AD28" i="14"/>
  <c r="T9" i="14"/>
  <c r="AC32" i="14"/>
  <c r="AF32" i="14"/>
  <c r="T34" i="14"/>
  <c r="AE52" i="14" l="1"/>
  <c r="AA52" i="14"/>
  <c r="AD52" i="14"/>
  <c r="T52" i="14"/>
  <c r="AC28" i="14"/>
  <c r="AF28" i="14"/>
  <c r="AC52" i="14" l="1"/>
  <c r="AF52" i="14"/>
  <c r="O54" i="13"/>
  <c r="P54" i="13"/>
  <c r="O59" i="13"/>
  <c r="P59" i="13"/>
  <c r="Q59" i="13"/>
  <c r="P53" i="13"/>
  <c r="O53" i="13"/>
  <c r="M58" i="13"/>
  <c r="L58" i="13"/>
  <c r="M57" i="13"/>
  <c r="P57" i="13" s="1"/>
  <c r="L57" i="13"/>
  <c r="O57" i="13" s="1"/>
  <c r="M56" i="13"/>
  <c r="L56" i="13"/>
  <c r="M55" i="13"/>
  <c r="L55" i="13"/>
  <c r="N54" i="13"/>
  <c r="N53" i="13"/>
  <c r="Y58" i="13"/>
  <c r="X58" i="13"/>
  <c r="U58" i="13"/>
  <c r="G58" i="13"/>
  <c r="S58" i="13" s="1"/>
  <c r="AB58" i="13" s="1"/>
  <c r="F58" i="13"/>
  <c r="R58" i="13" s="1"/>
  <c r="D58" i="13"/>
  <c r="C58" i="13"/>
  <c r="G57" i="13"/>
  <c r="F57" i="13"/>
  <c r="E57" i="13"/>
  <c r="Y56" i="13"/>
  <c r="X56" i="13"/>
  <c r="W56" i="13"/>
  <c r="G56" i="13"/>
  <c r="S56" i="13" s="1"/>
  <c r="AB56" i="13" s="1"/>
  <c r="F56" i="13"/>
  <c r="R56" i="13" s="1"/>
  <c r="D56" i="13"/>
  <c r="C56" i="13"/>
  <c r="Y55" i="13"/>
  <c r="X55" i="13"/>
  <c r="V55" i="13"/>
  <c r="V60" i="13" s="1"/>
  <c r="U55" i="13"/>
  <c r="G55" i="13"/>
  <c r="F55" i="13"/>
  <c r="D55" i="13"/>
  <c r="C55" i="13"/>
  <c r="S54" i="13"/>
  <c r="R54" i="13"/>
  <c r="H54" i="13"/>
  <c r="T54" i="13" s="1"/>
  <c r="E54" i="13"/>
  <c r="Z53" i="13"/>
  <c r="W53" i="13"/>
  <c r="S53" i="13"/>
  <c r="AE53" i="13" s="1"/>
  <c r="R53" i="13"/>
  <c r="H53" i="13"/>
  <c r="E53" i="13"/>
  <c r="Z43" i="13"/>
  <c r="W43" i="13"/>
  <c r="Z42" i="13"/>
  <c r="W42" i="13"/>
  <c r="Z51" i="13"/>
  <c r="W51" i="13"/>
  <c r="R51" i="13"/>
  <c r="AA51" i="13" s="1"/>
  <c r="Z50" i="13"/>
  <c r="W50" i="13"/>
  <c r="Z41" i="13"/>
  <c r="W41" i="13"/>
  <c r="Z40" i="13"/>
  <c r="W40" i="13"/>
  <c r="Z13" i="13"/>
  <c r="W13" i="13"/>
  <c r="Z39" i="13"/>
  <c r="W39" i="13"/>
  <c r="Z38" i="13"/>
  <c r="W38" i="13"/>
  <c r="Z35" i="13"/>
  <c r="W35" i="13"/>
  <c r="Z34" i="13"/>
  <c r="W34" i="13"/>
  <c r="Z33" i="13"/>
  <c r="W33" i="13"/>
  <c r="Z32" i="13"/>
  <c r="W32" i="13"/>
  <c r="Z31" i="13"/>
  <c r="W31" i="13"/>
  <c r="Z30" i="13"/>
  <c r="W30" i="13"/>
  <c r="Z28" i="13"/>
  <c r="W28" i="13"/>
  <c r="Z27" i="13"/>
  <c r="W27" i="13"/>
  <c r="Z25" i="13"/>
  <c r="W25" i="13"/>
  <c r="Z24" i="13"/>
  <c r="W24" i="13"/>
  <c r="Z23" i="13"/>
  <c r="W23" i="13"/>
  <c r="Z22" i="13"/>
  <c r="W22" i="13"/>
  <c r="Z21" i="13"/>
  <c r="W21" i="13"/>
  <c r="Z20" i="13"/>
  <c r="Z19" i="13"/>
  <c r="W19" i="13"/>
  <c r="Z18" i="13"/>
  <c r="Z17" i="13"/>
  <c r="W17" i="13"/>
  <c r="Z16" i="13"/>
  <c r="W16" i="13"/>
  <c r="Z45" i="13"/>
  <c r="W45" i="13"/>
  <c r="Z14" i="13"/>
  <c r="W14" i="13"/>
  <c r="Z47" i="13"/>
  <c r="W47" i="13"/>
  <c r="Z15" i="13"/>
  <c r="W15" i="13"/>
  <c r="Z12" i="13"/>
  <c r="W12" i="13"/>
  <c r="Z10" i="13"/>
  <c r="W10" i="13"/>
  <c r="D60" i="13" l="1"/>
  <c r="P58" i="13"/>
  <c r="O58" i="13"/>
  <c r="C60" i="13"/>
  <c r="X60" i="13"/>
  <c r="Q54" i="13"/>
  <c r="Y60" i="13"/>
  <c r="P56" i="13"/>
  <c r="U60" i="13"/>
  <c r="M60" i="13"/>
  <c r="O55" i="13"/>
  <c r="L60" i="13"/>
  <c r="G60" i="13"/>
  <c r="F60" i="13"/>
  <c r="N57" i="13"/>
  <c r="Q57" i="13" s="1"/>
  <c r="T53" i="13"/>
  <c r="AF53" i="13" s="1"/>
  <c r="N56" i="13"/>
  <c r="Q53" i="13"/>
  <c r="P55" i="13"/>
  <c r="S55" i="13"/>
  <c r="AE55" i="13" s="1"/>
  <c r="N55" i="13"/>
  <c r="H55" i="13"/>
  <c r="T55" i="13" s="1"/>
  <c r="N58" i="13"/>
  <c r="O56" i="13"/>
  <c r="Z56" i="13"/>
  <c r="R55" i="13"/>
  <c r="AD55" i="13" s="1"/>
  <c r="Z58" i="13"/>
  <c r="AD58" i="13"/>
  <c r="AA58" i="13"/>
  <c r="AB53" i="13"/>
  <c r="E56" i="13"/>
  <c r="H56" i="13"/>
  <c r="T56" i="13" s="1"/>
  <c r="AC56" i="13" s="1"/>
  <c r="Z55" i="13"/>
  <c r="H57" i="13"/>
  <c r="T57" i="13" s="1"/>
  <c r="E58" i="13"/>
  <c r="AA56" i="13"/>
  <c r="AD56" i="13"/>
  <c r="AA53" i="13"/>
  <c r="S57" i="13"/>
  <c r="W58" i="13"/>
  <c r="AE58" i="13"/>
  <c r="E55" i="13"/>
  <c r="AE56" i="13"/>
  <c r="R57" i="13"/>
  <c r="H58" i="13"/>
  <c r="T58" i="13" s="1"/>
  <c r="W55" i="13"/>
  <c r="AD53" i="13"/>
  <c r="R14" i="13"/>
  <c r="AD14" i="13" s="1"/>
  <c r="R22" i="13"/>
  <c r="AA22" i="13" s="1"/>
  <c r="T21" i="13"/>
  <c r="AF21" i="13" s="1"/>
  <c r="R24" i="13"/>
  <c r="T27" i="13"/>
  <c r="AF27" i="13" s="1"/>
  <c r="S19" i="13"/>
  <c r="S47" i="13"/>
  <c r="S34" i="13"/>
  <c r="R15" i="13"/>
  <c r="S45" i="13"/>
  <c r="R18" i="13"/>
  <c r="AD18" i="13" s="1"/>
  <c r="S10" i="13"/>
  <c r="R45" i="13"/>
  <c r="R16" i="13"/>
  <c r="S20" i="13"/>
  <c r="R39" i="13"/>
  <c r="S28" i="13"/>
  <c r="R13" i="13"/>
  <c r="R28" i="13"/>
  <c r="S37" i="13"/>
  <c r="S17" i="13"/>
  <c r="T22" i="13"/>
  <c r="AF22" i="13" s="1"/>
  <c r="S21" i="13"/>
  <c r="S27" i="13"/>
  <c r="S14" i="13"/>
  <c r="S22" i="13"/>
  <c r="R21" i="13"/>
  <c r="R27" i="13"/>
  <c r="S29" i="13"/>
  <c r="S9" i="13"/>
  <c r="S15" i="13"/>
  <c r="S18" i="13"/>
  <c r="AE18" i="13" s="1"/>
  <c r="R33" i="13"/>
  <c r="AD51" i="13"/>
  <c r="S42" i="13"/>
  <c r="S30" i="13"/>
  <c r="R30" i="13"/>
  <c r="R34" i="13"/>
  <c r="R49" i="13"/>
  <c r="S48" i="13"/>
  <c r="R48" i="13"/>
  <c r="S33" i="13"/>
  <c r="S44" i="13"/>
  <c r="R44" i="13"/>
  <c r="AQ15" i="11"/>
  <c r="AP15" i="11"/>
  <c r="AH15" i="11"/>
  <c r="AG15" i="11"/>
  <c r="Y15" i="11"/>
  <c r="X15" i="11"/>
  <c r="S15" i="11"/>
  <c r="R15" i="11"/>
  <c r="P15" i="11"/>
  <c r="O15" i="11"/>
  <c r="M15" i="11"/>
  <c r="L15" i="11"/>
  <c r="J15" i="11"/>
  <c r="I15" i="11"/>
  <c r="G15" i="11"/>
  <c r="V15" i="11" s="1"/>
  <c r="F15" i="11"/>
  <c r="U15" i="11" s="1"/>
  <c r="D15" i="11"/>
  <c r="C15" i="11"/>
  <c r="AO14" i="11"/>
  <c r="AU14" i="11" s="1"/>
  <c r="N14" i="11"/>
  <c r="AF14" i="11" s="1"/>
  <c r="AL14" i="11" s="1"/>
  <c r="K14" i="11"/>
  <c r="AR13" i="11"/>
  <c r="AN13" i="11"/>
  <c r="AT13" i="11" s="1"/>
  <c r="AM13" i="11"/>
  <c r="AS13" i="11" s="1"/>
  <c r="AI13" i="11"/>
  <c r="AE13" i="11"/>
  <c r="AK13" i="11" s="1"/>
  <c r="AD13" i="11"/>
  <c r="AJ13" i="11" s="1"/>
  <c r="AB13" i="11"/>
  <c r="Z13" i="11"/>
  <c r="AA13" i="11"/>
  <c r="T13" i="11"/>
  <c r="AO13" i="11" s="1"/>
  <c r="Q13" i="11"/>
  <c r="N13" i="11"/>
  <c r="AF13" i="11" s="1"/>
  <c r="K13" i="11"/>
  <c r="H13" i="11"/>
  <c r="W13" i="11" s="1"/>
  <c r="E13" i="11"/>
  <c r="AR12" i="11"/>
  <c r="AN12" i="11"/>
  <c r="AT12" i="11" s="1"/>
  <c r="AM12" i="11"/>
  <c r="AI12" i="11"/>
  <c r="AE12" i="11"/>
  <c r="AK12" i="11" s="1"/>
  <c r="AD12" i="11"/>
  <c r="AJ12" i="11" s="1"/>
  <c r="AA12" i="11"/>
  <c r="Z12" i="11"/>
  <c r="AB12" i="11"/>
  <c r="T12" i="11"/>
  <c r="AO12" i="11" s="1"/>
  <c r="Q12" i="11"/>
  <c r="N12" i="11"/>
  <c r="AF12" i="11" s="1"/>
  <c r="K12" i="11"/>
  <c r="H12" i="11"/>
  <c r="W12" i="11" s="1"/>
  <c r="E12" i="11"/>
  <c r="AR11" i="11"/>
  <c r="AN11" i="11"/>
  <c r="AT11" i="11" s="1"/>
  <c r="AM11" i="11"/>
  <c r="AS11" i="11" s="1"/>
  <c r="AI11" i="11"/>
  <c r="AE11" i="11"/>
  <c r="AK11" i="11" s="1"/>
  <c r="AD11" i="11"/>
  <c r="AJ11" i="11" s="1"/>
  <c r="Z11" i="11"/>
  <c r="AB11" i="11"/>
  <c r="AA11" i="11"/>
  <c r="T11" i="11"/>
  <c r="AO11" i="11" s="1"/>
  <c r="Q11" i="11"/>
  <c r="N11" i="11"/>
  <c r="AF11" i="11" s="1"/>
  <c r="K11" i="11"/>
  <c r="H11" i="11"/>
  <c r="W11" i="11" s="1"/>
  <c r="E11" i="11"/>
  <c r="AR10" i="11"/>
  <c r="AN10" i="11"/>
  <c r="AT10" i="11" s="1"/>
  <c r="AM10" i="11"/>
  <c r="AS10" i="11" s="1"/>
  <c r="AI10" i="11"/>
  <c r="AE10" i="11"/>
  <c r="AK10" i="11" s="1"/>
  <c r="AD10" i="11"/>
  <c r="AJ10" i="11" s="1"/>
  <c r="AA10" i="11"/>
  <c r="Z10" i="11"/>
  <c r="AB10" i="11"/>
  <c r="T10" i="11"/>
  <c r="AO10" i="11" s="1"/>
  <c r="Q10" i="11"/>
  <c r="N10" i="11"/>
  <c r="AF10" i="11" s="1"/>
  <c r="K10" i="11"/>
  <c r="H10" i="11"/>
  <c r="E10" i="11"/>
  <c r="AR9" i="11"/>
  <c r="AN9" i="11"/>
  <c r="AM9" i="11"/>
  <c r="AS9" i="11" s="1"/>
  <c r="AI9" i="11"/>
  <c r="AE9" i="11"/>
  <c r="AK9" i="11" s="1"/>
  <c r="AD9" i="11"/>
  <c r="AJ9" i="11" s="1"/>
  <c r="AB9" i="11"/>
  <c r="AA9" i="11"/>
  <c r="Z9" i="11"/>
  <c r="AO9" i="11"/>
  <c r="AF9" i="11"/>
  <c r="W9" i="11"/>
  <c r="AR8" i="11"/>
  <c r="AN8" i="11"/>
  <c r="AT8" i="11" s="1"/>
  <c r="AM8" i="11"/>
  <c r="AI8" i="11"/>
  <c r="AE8" i="11"/>
  <c r="AK8" i="11" s="1"/>
  <c r="AD8" i="11"/>
  <c r="AJ8" i="11" s="1"/>
  <c r="AB8" i="11"/>
  <c r="Z8" i="11"/>
  <c r="U8" i="11"/>
  <c r="AA8" i="11" s="1"/>
  <c r="T8" i="11"/>
  <c r="AO8" i="11" s="1"/>
  <c r="Q8" i="11"/>
  <c r="N8" i="11"/>
  <c r="K8" i="11"/>
  <c r="H8" i="11"/>
  <c r="E8" i="11"/>
  <c r="U1" i="11"/>
  <c r="AL10" i="11" l="1"/>
  <c r="AL13" i="11"/>
  <c r="O60" i="13"/>
  <c r="AC11" i="11"/>
  <c r="P60" i="13"/>
  <c r="AB55" i="13"/>
  <c r="AC55" i="13"/>
  <c r="K15" i="11"/>
  <c r="AA15" i="11"/>
  <c r="AU10" i="11"/>
  <c r="AR15" i="11"/>
  <c r="W60" i="13"/>
  <c r="E60" i="13"/>
  <c r="Q15" i="11"/>
  <c r="AB15" i="11"/>
  <c r="AC12" i="11"/>
  <c r="AC53" i="13"/>
  <c r="H60" i="13"/>
  <c r="AA55" i="13"/>
  <c r="N60" i="13"/>
  <c r="AF55" i="13"/>
  <c r="Z60" i="13"/>
  <c r="AB44" i="13"/>
  <c r="AE44" i="13"/>
  <c r="AA44" i="13"/>
  <c r="AD44" i="13"/>
  <c r="Q56" i="13"/>
  <c r="AL9" i="11"/>
  <c r="W10" i="11"/>
  <c r="AC10" i="11" s="1"/>
  <c r="AM15" i="11"/>
  <c r="AS15" i="11" s="1"/>
  <c r="AU11" i="11"/>
  <c r="AU12" i="11"/>
  <c r="T15" i="11"/>
  <c r="N15" i="11"/>
  <c r="AI15" i="11"/>
  <c r="E15" i="11"/>
  <c r="AL12" i="11"/>
  <c r="H15" i="11"/>
  <c r="W8" i="11"/>
  <c r="AC8" i="11" s="1"/>
  <c r="AD15" i="11"/>
  <c r="AJ15" i="11" s="1"/>
  <c r="AS8" i="11"/>
  <c r="AC9" i="11"/>
  <c r="AL11" i="11"/>
  <c r="AC13" i="11"/>
  <c r="Q55" i="13"/>
  <c r="Q58" i="13"/>
  <c r="AF58" i="13"/>
  <c r="AF56" i="13"/>
  <c r="AC58" i="13"/>
  <c r="AA14" i="13"/>
  <c r="AC27" i="13"/>
  <c r="AD22" i="13"/>
  <c r="T51" i="13"/>
  <c r="T13" i="13"/>
  <c r="S43" i="13"/>
  <c r="R41" i="13"/>
  <c r="R43" i="13"/>
  <c r="R38" i="13"/>
  <c r="AB30" i="13"/>
  <c r="AE30" i="13"/>
  <c r="R50" i="13"/>
  <c r="R31" i="13"/>
  <c r="R20" i="13"/>
  <c r="R29" i="13"/>
  <c r="AE21" i="13"/>
  <c r="AB21" i="13"/>
  <c r="R23" i="13"/>
  <c r="R12" i="13"/>
  <c r="AB28" i="13"/>
  <c r="AE28" i="13"/>
  <c r="AB10" i="13"/>
  <c r="AE10" i="13"/>
  <c r="S23" i="13"/>
  <c r="AC21" i="13"/>
  <c r="S36" i="13"/>
  <c r="R42" i="13"/>
  <c r="T33" i="13"/>
  <c r="S39" i="13"/>
  <c r="T34" i="13"/>
  <c r="AD27" i="13"/>
  <c r="AA27" i="13"/>
  <c r="R17" i="13"/>
  <c r="AB17" i="13"/>
  <c r="AE17" i="13"/>
  <c r="AA13" i="13"/>
  <c r="AD13" i="13"/>
  <c r="T14" i="13"/>
  <c r="AA39" i="13"/>
  <c r="AD39" i="13"/>
  <c r="AC22" i="13"/>
  <c r="S49" i="13"/>
  <c r="S40" i="13"/>
  <c r="S31" i="13"/>
  <c r="S38" i="13"/>
  <c r="AA30" i="13"/>
  <c r="AD30" i="13"/>
  <c r="R40" i="13"/>
  <c r="AE27" i="13"/>
  <c r="AB27" i="13"/>
  <c r="T18" i="13"/>
  <c r="AF18" i="13" s="1"/>
  <c r="R25" i="13"/>
  <c r="S12" i="13"/>
  <c r="AA45" i="13"/>
  <c r="AD45" i="13"/>
  <c r="AA15" i="13"/>
  <c r="AD15" i="13"/>
  <c r="S50" i="13"/>
  <c r="AA34" i="13"/>
  <c r="AD34" i="13"/>
  <c r="AB22" i="13"/>
  <c r="AE22" i="13"/>
  <c r="AE14" i="13"/>
  <c r="AB14" i="13"/>
  <c r="T28" i="13"/>
  <c r="S25" i="13"/>
  <c r="AE19" i="13"/>
  <c r="AB19" i="13"/>
  <c r="T10" i="13"/>
  <c r="T49" i="13"/>
  <c r="T48" i="13"/>
  <c r="AA33" i="13"/>
  <c r="AD33" i="13"/>
  <c r="R26" i="13"/>
  <c r="T45" i="13"/>
  <c r="T16" i="13"/>
  <c r="R47" i="13"/>
  <c r="AB47" i="13"/>
  <c r="AE47" i="13"/>
  <c r="AA24" i="13"/>
  <c r="AD24" i="13"/>
  <c r="S46" i="13"/>
  <c r="S51" i="13"/>
  <c r="AB42" i="13"/>
  <c r="AE42" i="13"/>
  <c r="S13" i="13"/>
  <c r="R9" i="13"/>
  <c r="S26" i="13"/>
  <c r="T9" i="13"/>
  <c r="T15" i="13"/>
  <c r="AB45" i="13"/>
  <c r="AE45" i="13"/>
  <c r="T30" i="13"/>
  <c r="S32" i="13"/>
  <c r="AE15" i="13"/>
  <c r="AB15" i="13"/>
  <c r="AD21" i="13"/>
  <c r="AA21" i="13"/>
  <c r="AA16" i="13"/>
  <c r="AD16" i="13"/>
  <c r="R10" i="13"/>
  <c r="AB34" i="13"/>
  <c r="AE34" i="13"/>
  <c r="AE33" i="13"/>
  <c r="AB33" i="13"/>
  <c r="T44" i="13"/>
  <c r="S35" i="13"/>
  <c r="R46" i="13"/>
  <c r="R36" i="13"/>
  <c r="S41" i="13"/>
  <c r="R37" i="13"/>
  <c r="R32" i="13"/>
  <c r="R35" i="13"/>
  <c r="S24" i="13"/>
  <c r="S16" i="13"/>
  <c r="AA28" i="13"/>
  <c r="AD28" i="13"/>
  <c r="AB20" i="13"/>
  <c r="AE20" i="13"/>
  <c r="AU9" i="11"/>
  <c r="Z15" i="11"/>
  <c r="AF8" i="11"/>
  <c r="AT9" i="11"/>
  <c r="AS12" i="11"/>
  <c r="AU13" i="11"/>
  <c r="AO15" i="11"/>
  <c r="AN15" i="11"/>
  <c r="AT15" i="11" s="1"/>
  <c r="AE15" i="11"/>
  <c r="AK15" i="11" s="1"/>
  <c r="AU8" i="11"/>
  <c r="Q60" i="13" l="1"/>
  <c r="AU15" i="11"/>
  <c r="S60" i="13"/>
  <c r="AE60" i="13" s="1"/>
  <c r="AC44" i="13"/>
  <c r="AF44" i="13"/>
  <c r="W15" i="11"/>
  <c r="AC15" i="11" s="1"/>
  <c r="AB16" i="13"/>
  <c r="AE16" i="13"/>
  <c r="AA47" i="13"/>
  <c r="AD47" i="13"/>
  <c r="AC10" i="13"/>
  <c r="AF10" i="13"/>
  <c r="T40" i="13"/>
  <c r="AC34" i="13"/>
  <c r="AF34" i="13"/>
  <c r="T12" i="13"/>
  <c r="T43" i="13"/>
  <c r="T26" i="13"/>
  <c r="R19" i="13"/>
  <c r="R60" i="13" s="1"/>
  <c r="AD60" i="13" s="1"/>
  <c r="AF33" i="13"/>
  <c r="AC33" i="13"/>
  <c r="AD20" i="13"/>
  <c r="AA20" i="13"/>
  <c r="AB43" i="13"/>
  <c r="AE43" i="13"/>
  <c r="AF51" i="13"/>
  <c r="AC51" i="13"/>
  <c r="AE24" i="13"/>
  <c r="AB24" i="13"/>
  <c r="T35" i="13"/>
  <c r="T32" i="13"/>
  <c r="AF15" i="13"/>
  <c r="AC15" i="13"/>
  <c r="AB51" i="13"/>
  <c r="AE51" i="13"/>
  <c r="AD25" i="13"/>
  <c r="AA25" i="13"/>
  <c r="AA40" i="13"/>
  <c r="AD40" i="13"/>
  <c r="AF14" i="13"/>
  <c r="AC14" i="13"/>
  <c r="AD23" i="13"/>
  <c r="AA23" i="13"/>
  <c r="AC45" i="13"/>
  <c r="AF45" i="13"/>
  <c r="AC28" i="13"/>
  <c r="AF28" i="13"/>
  <c r="AE50" i="13"/>
  <c r="AB50" i="13"/>
  <c r="T25" i="13"/>
  <c r="AE23" i="13"/>
  <c r="AB23" i="13"/>
  <c r="T23" i="13"/>
  <c r="T31" i="13"/>
  <c r="T41" i="13"/>
  <c r="AC13" i="13"/>
  <c r="AF13" i="13"/>
  <c r="AA32" i="13"/>
  <c r="AD32" i="13"/>
  <c r="AA10" i="13"/>
  <c r="AD10" i="13"/>
  <c r="AB13" i="13"/>
  <c r="AE13" i="13"/>
  <c r="AC48" i="13"/>
  <c r="AF48" i="13"/>
  <c r="T39" i="13"/>
  <c r="AE38" i="13"/>
  <c r="AB38" i="13"/>
  <c r="T29" i="13"/>
  <c r="AA35" i="13"/>
  <c r="AD35" i="13"/>
  <c r="T37" i="13"/>
  <c r="AE41" i="13"/>
  <c r="AB41" i="13"/>
  <c r="T36" i="13"/>
  <c r="AB35" i="13"/>
  <c r="AE35" i="13"/>
  <c r="AB32" i="13"/>
  <c r="AE32" i="13"/>
  <c r="AC16" i="13"/>
  <c r="AF16" i="13"/>
  <c r="T24" i="13"/>
  <c r="AB25" i="13"/>
  <c r="AE25" i="13"/>
  <c r="AB40" i="13"/>
  <c r="AE40" i="13"/>
  <c r="T42" i="13"/>
  <c r="AA31" i="13"/>
  <c r="AD31" i="13"/>
  <c r="AA41" i="13"/>
  <c r="AD41" i="13"/>
  <c r="T46" i="13"/>
  <c r="AC30" i="13"/>
  <c r="AF30" i="13"/>
  <c r="T47" i="13"/>
  <c r="AD17" i="13"/>
  <c r="AA17" i="13"/>
  <c r="AB39" i="13"/>
  <c r="AE39" i="13"/>
  <c r="AA42" i="13"/>
  <c r="AD42" i="13"/>
  <c r="AA50" i="13"/>
  <c r="AD50" i="13"/>
  <c r="AD38" i="13"/>
  <c r="AA38" i="13"/>
  <c r="AB12" i="13"/>
  <c r="AE12" i="13"/>
  <c r="AE31" i="13"/>
  <c r="AB31" i="13"/>
  <c r="T17" i="13"/>
  <c r="AD12" i="13"/>
  <c r="AA12" i="13"/>
  <c r="T20" i="13"/>
  <c r="T50" i="13"/>
  <c r="T38" i="13"/>
  <c r="AA43" i="13"/>
  <c r="AD43" i="13"/>
  <c r="AL8" i="11"/>
  <c r="AF15" i="11"/>
  <c r="AL15" i="11" s="1"/>
  <c r="AA60" i="13" l="1"/>
  <c r="AB60" i="13"/>
  <c r="AC20" i="13"/>
  <c r="AF20" i="13"/>
  <c r="AF50" i="13"/>
  <c r="AC50" i="13"/>
  <c r="AF38" i="13"/>
  <c r="AC38" i="13"/>
  <c r="AF32" i="13"/>
  <c r="AC32" i="13"/>
  <c r="AC12" i="13"/>
  <c r="AF12" i="13"/>
  <c r="AC17" i="13"/>
  <c r="AF17" i="13"/>
  <c r="AC39" i="13"/>
  <c r="AF39" i="13"/>
  <c r="AC42" i="13"/>
  <c r="AF42" i="13"/>
  <c r="AC40" i="13"/>
  <c r="AF40" i="13"/>
  <c r="AA19" i="13"/>
  <c r="AD19" i="13"/>
  <c r="AC43" i="13"/>
  <c r="AF43" i="13"/>
  <c r="AC24" i="13"/>
  <c r="AF24" i="13"/>
  <c r="AC23" i="13"/>
  <c r="AF23" i="13"/>
  <c r="T19" i="13"/>
  <c r="T60" i="13" s="1"/>
  <c r="AF60" i="13" s="1"/>
  <c r="AF41" i="13"/>
  <c r="AC41" i="13"/>
  <c r="AC47" i="13"/>
  <c r="AF47" i="13"/>
  <c r="AC35" i="13"/>
  <c r="AF35" i="13"/>
  <c r="AF31" i="13"/>
  <c r="AC31" i="13"/>
  <c r="AF25" i="13"/>
  <c r="AC25" i="13"/>
  <c r="FD32" i="5"/>
  <c r="FC32" i="5"/>
  <c r="EL32" i="5"/>
  <c r="EK32" i="5"/>
  <c r="FE32" i="5" l="1"/>
  <c r="AC60" i="13"/>
  <c r="AC19" i="13"/>
  <c r="AF19" i="13"/>
  <c r="EV28" i="5"/>
  <c r="EM28" i="5"/>
  <c r="FD42" i="5"/>
  <c r="FD51" i="5" s="1"/>
  <c r="FC42" i="5"/>
  <c r="FC51" i="5" s="1"/>
  <c r="EU42" i="5"/>
  <c r="EU51" i="5" s="1"/>
  <c r="ET42" i="5"/>
  <c r="ET51" i="5" s="1"/>
  <c r="EL42" i="5"/>
  <c r="EL51" i="5" s="1"/>
  <c r="EK42" i="5"/>
  <c r="EK51" i="5" s="1"/>
  <c r="FE42" i="5" l="1"/>
  <c r="BE45" i="5"/>
  <c r="BE13" i="5"/>
  <c r="BF37" i="5"/>
  <c r="BE37" i="5"/>
  <c r="BF9" i="5"/>
  <c r="L31" i="5"/>
  <c r="M31" i="5"/>
  <c r="L35" i="5"/>
  <c r="M35" i="5"/>
  <c r="L20" i="5"/>
  <c r="M20" i="5"/>
  <c r="L18" i="5"/>
  <c r="M18" i="5"/>
  <c r="L19" i="5"/>
  <c r="M19" i="5"/>
  <c r="N19" i="5"/>
  <c r="L21" i="5"/>
  <c r="M21" i="5"/>
  <c r="L22" i="5"/>
  <c r="M22" i="5"/>
  <c r="L24" i="5"/>
  <c r="M24" i="5"/>
  <c r="L25" i="5"/>
  <c r="M25" i="5"/>
  <c r="L26" i="5"/>
  <c r="M26" i="5"/>
  <c r="L27" i="5"/>
  <c r="M27" i="5"/>
  <c r="L28" i="5"/>
  <c r="M28" i="5"/>
  <c r="L30" i="5"/>
  <c r="M30" i="5"/>
  <c r="L29" i="5"/>
  <c r="M29" i="5"/>
  <c r="L46" i="5"/>
  <c r="M46" i="5"/>
  <c r="L32" i="5"/>
  <c r="M32" i="5"/>
  <c r="L33" i="5"/>
  <c r="M33" i="5"/>
  <c r="L34" i="5"/>
  <c r="M34" i="5"/>
  <c r="L47" i="5"/>
  <c r="M47" i="5"/>
  <c r="L36" i="5"/>
  <c r="M36" i="5"/>
  <c r="L44" i="5"/>
  <c r="M44" i="5"/>
  <c r="L38" i="5"/>
  <c r="M38" i="5"/>
  <c r="L39" i="5"/>
  <c r="M39" i="5"/>
  <c r="L48" i="5"/>
  <c r="M48" i="5"/>
  <c r="L49" i="5"/>
  <c r="M49" i="5"/>
  <c r="L40" i="5"/>
  <c r="M40" i="5"/>
  <c r="L41" i="5"/>
  <c r="M41" i="5"/>
  <c r="L50" i="5"/>
  <c r="M50" i="5"/>
  <c r="L43" i="5"/>
  <c r="M43" i="5"/>
  <c r="L42" i="5"/>
  <c r="M42" i="5"/>
  <c r="L13" i="5"/>
  <c r="M13" i="5"/>
  <c r="L45" i="5"/>
  <c r="M45" i="5"/>
  <c r="L12" i="5"/>
  <c r="M12" i="5"/>
  <c r="L14" i="5"/>
  <c r="M14" i="5"/>
  <c r="L15" i="5"/>
  <c r="M15" i="5"/>
  <c r="L16" i="5"/>
  <c r="M16" i="5"/>
  <c r="L10" i="5"/>
  <c r="M10" i="5"/>
  <c r="BZ39" i="5"/>
  <c r="CA39" i="5"/>
  <c r="BZ48" i="5"/>
  <c r="CA48" i="5"/>
  <c r="BZ49" i="5"/>
  <c r="CA49" i="5"/>
  <c r="BZ40" i="5"/>
  <c r="CA40" i="5"/>
  <c r="BZ41" i="5"/>
  <c r="CA41" i="5"/>
  <c r="BZ50" i="5"/>
  <c r="CA50" i="5"/>
  <c r="BZ43" i="5"/>
  <c r="CA43" i="5"/>
  <c r="BZ42" i="5"/>
  <c r="CA42" i="5"/>
  <c r="CA38" i="5"/>
  <c r="BZ38" i="5"/>
  <c r="BZ19" i="5"/>
  <c r="CA19" i="5"/>
  <c r="CB19" i="5"/>
  <c r="BZ21" i="5"/>
  <c r="CA21" i="5"/>
  <c r="BZ22" i="5"/>
  <c r="CA22" i="5"/>
  <c r="BZ24" i="5"/>
  <c r="CA24" i="5"/>
  <c r="BZ26" i="5"/>
  <c r="CA26" i="5"/>
  <c r="BZ27" i="5"/>
  <c r="CA27" i="5"/>
  <c r="BZ28" i="5"/>
  <c r="CA28" i="5"/>
  <c r="BZ30" i="5"/>
  <c r="CA30" i="5"/>
  <c r="BZ29" i="5"/>
  <c r="CA29" i="5"/>
  <c r="BZ46" i="5"/>
  <c r="CA46" i="5"/>
  <c r="BZ32" i="5"/>
  <c r="CA32" i="5"/>
  <c r="BZ33" i="5"/>
  <c r="CA33" i="5"/>
  <c r="BZ34" i="5"/>
  <c r="CA34" i="5"/>
  <c r="BZ47" i="5"/>
  <c r="CA47" i="5"/>
  <c r="BZ36" i="5"/>
  <c r="CA36" i="5"/>
  <c r="CX12" i="5" l="1"/>
  <c r="CX10" i="5"/>
  <c r="DA10" i="5" s="1"/>
  <c r="BT49" i="5"/>
  <c r="BT38" i="5"/>
  <c r="BT33" i="5"/>
  <c r="BU33" i="5"/>
  <c r="BT34" i="5"/>
  <c r="BU34" i="5"/>
  <c r="BT27" i="5"/>
  <c r="BU27" i="5"/>
  <c r="BT30" i="5"/>
  <c r="BU30" i="5"/>
  <c r="BT29" i="5"/>
  <c r="BU29" i="5"/>
  <c r="BT31" i="5"/>
  <c r="BT16" i="5"/>
  <c r="BT13" i="5"/>
  <c r="BU13" i="5"/>
  <c r="BT10" i="5"/>
  <c r="BW10" i="5" s="1"/>
  <c r="BU10" i="5"/>
  <c r="BX10" i="5" s="1"/>
  <c r="W9" i="5"/>
  <c r="AA17" i="5"/>
  <c r="AB17" i="5"/>
  <c r="AB12" i="5"/>
  <c r="AA12" i="5"/>
  <c r="AB45" i="5"/>
  <c r="AA45" i="5"/>
  <c r="AB13" i="5"/>
  <c r="AA13" i="5"/>
  <c r="AB10" i="5"/>
  <c r="AE10" i="5" s="1"/>
  <c r="AA10" i="5"/>
  <c r="AD10" i="5" s="1"/>
  <c r="AA9" i="5"/>
  <c r="O43" i="5"/>
  <c r="O35" i="5"/>
  <c r="M23" i="5"/>
  <c r="L23" i="5"/>
  <c r="P20" i="5"/>
  <c r="L37" i="5"/>
  <c r="O20" i="5"/>
  <c r="EV22" i="5"/>
  <c r="EM22" i="5"/>
  <c r="DZ22" i="5"/>
  <c r="DY22" i="5"/>
  <c r="DW22" i="5"/>
  <c r="DV22" i="5"/>
  <c r="DT22" i="5"/>
  <c r="DS22" i="5"/>
  <c r="DN22" i="5"/>
  <c r="DQ22" i="5" s="1"/>
  <c r="DM22" i="5"/>
  <c r="DP22" i="5" s="1"/>
  <c r="DL22" i="5"/>
  <c r="DI22" i="5"/>
  <c r="DF22" i="5"/>
  <c r="DB22" i="5"/>
  <c r="CX22" i="5"/>
  <c r="CW22" i="5"/>
  <c r="CT22" i="5"/>
  <c r="CQ22" i="5"/>
  <c r="CG22" i="5"/>
  <c r="CF22" i="5"/>
  <c r="CD22" i="5"/>
  <c r="CC22" i="5"/>
  <c r="BU22" i="5"/>
  <c r="BX22" i="5" s="1"/>
  <c r="BT22" i="5"/>
  <c r="BW22" i="5" s="1"/>
  <c r="BS22" i="5"/>
  <c r="BP22" i="5"/>
  <c r="BM22" i="5"/>
  <c r="BF22" i="5"/>
  <c r="BE22" i="5"/>
  <c r="BD22" i="5"/>
  <c r="BA22" i="5"/>
  <c r="AX22" i="5"/>
  <c r="AN22" i="5"/>
  <c r="AM22" i="5"/>
  <c r="AK22" i="5"/>
  <c r="AJ22" i="5"/>
  <c r="AH22" i="5"/>
  <c r="AG22" i="5"/>
  <c r="AB22" i="5"/>
  <c r="AE22" i="5" s="1"/>
  <c r="AA22" i="5"/>
  <c r="AD22" i="5" s="1"/>
  <c r="Z22" i="5"/>
  <c r="W22" i="5"/>
  <c r="T22" i="5"/>
  <c r="O22" i="5"/>
  <c r="K22" i="5"/>
  <c r="H22" i="5"/>
  <c r="E22" i="5"/>
  <c r="EV10" i="5"/>
  <c r="EM10" i="5"/>
  <c r="DW10" i="5"/>
  <c r="DV10" i="5"/>
  <c r="DT10" i="5"/>
  <c r="DS10" i="5"/>
  <c r="DN10" i="5"/>
  <c r="DQ10" i="5" s="1"/>
  <c r="DM10" i="5"/>
  <c r="DP10" i="5" s="1"/>
  <c r="DI10" i="5"/>
  <c r="DO10" i="5" s="1"/>
  <c r="DF10" i="5"/>
  <c r="DB10" i="5"/>
  <c r="CT10" i="5"/>
  <c r="CQ10" i="5"/>
  <c r="CD10" i="5"/>
  <c r="CC10" i="5"/>
  <c r="BP10" i="5"/>
  <c r="BM10" i="5"/>
  <c r="BF10" i="5"/>
  <c r="BE10" i="5"/>
  <c r="BH10" i="5" s="1"/>
  <c r="BA10" i="5"/>
  <c r="AX10" i="5"/>
  <c r="AK10" i="5"/>
  <c r="AJ10" i="5"/>
  <c r="AH10" i="5"/>
  <c r="AG10" i="5"/>
  <c r="W10" i="5"/>
  <c r="AC10" i="5" s="1"/>
  <c r="T10" i="5"/>
  <c r="O10" i="5"/>
  <c r="P10" i="5"/>
  <c r="H10" i="5"/>
  <c r="E10" i="5"/>
  <c r="FE9" i="5"/>
  <c r="EV9" i="5"/>
  <c r="EM9" i="5"/>
  <c r="DZ9" i="5"/>
  <c r="DY9" i="5"/>
  <c r="DW9" i="5"/>
  <c r="DV9" i="5"/>
  <c r="DT9" i="5"/>
  <c r="DS9" i="5"/>
  <c r="DN9" i="5"/>
  <c r="DM9" i="5"/>
  <c r="DL9" i="5"/>
  <c r="DI9" i="5"/>
  <c r="DF9" i="5"/>
  <c r="CX9" i="5"/>
  <c r="CW9" i="5"/>
  <c r="CT9" i="5"/>
  <c r="CQ9" i="5"/>
  <c r="CG9" i="5"/>
  <c r="CF9" i="5"/>
  <c r="CD9" i="5"/>
  <c r="CC9" i="5"/>
  <c r="CA9" i="5"/>
  <c r="BZ9" i="5"/>
  <c r="BU9" i="5"/>
  <c r="BT9" i="5"/>
  <c r="BS9" i="5"/>
  <c r="BP9" i="5"/>
  <c r="BM9" i="5"/>
  <c r="BI9" i="5"/>
  <c r="BE9" i="5"/>
  <c r="BD9" i="5"/>
  <c r="BA9" i="5"/>
  <c r="AX9" i="5"/>
  <c r="AN9" i="5"/>
  <c r="AM9" i="5"/>
  <c r="AK9" i="5"/>
  <c r="AJ9" i="5"/>
  <c r="AH9" i="5"/>
  <c r="AG9" i="5"/>
  <c r="AB9" i="5"/>
  <c r="Z9" i="5"/>
  <c r="T9" i="5"/>
  <c r="M9" i="5"/>
  <c r="L9" i="5"/>
  <c r="K9" i="5"/>
  <c r="H9" i="5"/>
  <c r="E9" i="5"/>
  <c r="L51" i="5" l="1"/>
  <c r="O51" i="5" s="1"/>
  <c r="DR10" i="5"/>
  <c r="CB10" i="5"/>
  <c r="CB22" i="5"/>
  <c r="AE9" i="5"/>
  <c r="BG9" i="5"/>
  <c r="BX9" i="5"/>
  <c r="DQ9" i="5"/>
  <c r="DX10" i="5"/>
  <c r="DA9" i="5"/>
  <c r="CE10" i="5"/>
  <c r="AD9" i="5"/>
  <c r="DB9" i="5"/>
  <c r="BW9" i="5"/>
  <c r="DP9" i="5"/>
  <c r="BI10" i="5"/>
  <c r="AC9" i="5"/>
  <c r="DU10" i="5"/>
  <c r="CI22" i="5"/>
  <c r="EQ22" i="5" s="1"/>
  <c r="CJ22" i="5"/>
  <c r="ER22" i="5" s="1"/>
  <c r="EX22" i="5" s="1"/>
  <c r="AI10" i="5"/>
  <c r="AP9" i="5"/>
  <c r="AL10" i="5"/>
  <c r="N10" i="5"/>
  <c r="Q10" i="5" s="1"/>
  <c r="N22" i="5"/>
  <c r="P9" i="5"/>
  <c r="DX9" i="5"/>
  <c r="AO9" i="5"/>
  <c r="BV10" i="5"/>
  <c r="BY10" i="5" s="1"/>
  <c r="AF10" i="5"/>
  <c r="EB22" i="5"/>
  <c r="EE22" i="5" s="1"/>
  <c r="CE22" i="5"/>
  <c r="BI22" i="5"/>
  <c r="EA22" i="5"/>
  <c r="DO22" i="5"/>
  <c r="DR22" i="5" s="1"/>
  <c r="DU22" i="5"/>
  <c r="CZ22" i="5"/>
  <c r="DC22" i="5" s="1"/>
  <c r="DA22" i="5"/>
  <c r="CH22" i="5"/>
  <c r="BV22" i="5"/>
  <c r="BY22" i="5" s="1"/>
  <c r="BH22" i="5"/>
  <c r="AC22" i="5"/>
  <c r="AF22" i="5" s="1"/>
  <c r="AO22" i="5"/>
  <c r="AQ22" i="5"/>
  <c r="AT22" i="5" s="1"/>
  <c r="AI22" i="5"/>
  <c r="P22" i="5"/>
  <c r="AL22" i="5"/>
  <c r="AP22" i="5"/>
  <c r="EC22" i="5"/>
  <c r="DX22" i="5"/>
  <c r="BG22" i="5"/>
  <c r="CZ10" i="5"/>
  <c r="DC10" i="5" s="1"/>
  <c r="CI9" i="5"/>
  <c r="AP10" i="5"/>
  <c r="EH10" i="5" s="1"/>
  <c r="EN10" i="5" s="1"/>
  <c r="CI10" i="5"/>
  <c r="CL10" i="5" s="1"/>
  <c r="EB10" i="5"/>
  <c r="EZ10" i="5" s="1"/>
  <c r="FF10" i="5" s="1"/>
  <c r="BG10" i="5"/>
  <c r="BJ10" i="5" s="1"/>
  <c r="AL9" i="5"/>
  <c r="CB9" i="5"/>
  <c r="AQ10" i="5"/>
  <c r="CJ10" i="5"/>
  <c r="EC10" i="5"/>
  <c r="BV9" i="5"/>
  <c r="EA9" i="5"/>
  <c r="CH9" i="5"/>
  <c r="AI9" i="5"/>
  <c r="AQ9" i="5"/>
  <c r="CE9" i="5"/>
  <c r="BH9" i="5"/>
  <c r="DU9" i="5"/>
  <c r="DO9" i="5"/>
  <c r="O9" i="5"/>
  <c r="CZ9" i="5"/>
  <c r="EC9" i="5"/>
  <c r="N9" i="5"/>
  <c r="CJ9" i="5"/>
  <c r="EB9" i="5"/>
  <c r="EH9" i="5" l="1"/>
  <c r="EN9" i="5" s="1"/>
  <c r="CM22" i="5"/>
  <c r="DC9" i="5"/>
  <c r="AS9" i="5"/>
  <c r="AT9" i="5"/>
  <c r="CK22" i="5"/>
  <c r="CL9" i="5"/>
  <c r="CK10" i="5"/>
  <c r="CN10" i="5" s="1"/>
  <c r="EZ22" i="5"/>
  <c r="FF22" i="5" s="1"/>
  <c r="AR10" i="5"/>
  <c r="CL22" i="5"/>
  <c r="BY9" i="5"/>
  <c r="AR9" i="5"/>
  <c r="DR9" i="5"/>
  <c r="AF9" i="5"/>
  <c r="EQ10" i="5"/>
  <c r="EW10" i="5" s="1"/>
  <c r="EI9" i="5"/>
  <c r="EE10" i="5"/>
  <c r="AS10" i="5"/>
  <c r="EI22" i="5"/>
  <c r="EO22" i="5" s="1"/>
  <c r="EW22" i="5"/>
  <c r="AR22" i="5"/>
  <c r="AU22" i="5" s="1"/>
  <c r="Q22" i="5"/>
  <c r="ED22" i="5"/>
  <c r="EG22" i="5" s="1"/>
  <c r="BJ22" i="5"/>
  <c r="AS22" i="5"/>
  <c r="EH22" i="5"/>
  <c r="EN22" i="5" s="1"/>
  <c r="FA22" i="5"/>
  <c r="FG22" i="5" s="1"/>
  <c r="EF22" i="5"/>
  <c r="ED10" i="5"/>
  <c r="FB10" i="5" s="1"/>
  <c r="FH10" i="5" s="1"/>
  <c r="EQ9" i="5"/>
  <c r="ER10" i="5"/>
  <c r="EX10" i="5" s="1"/>
  <c r="CM10" i="5"/>
  <c r="EF10" i="5"/>
  <c r="FA10" i="5"/>
  <c r="FG10" i="5" s="1"/>
  <c r="EI10" i="5"/>
  <c r="EO10" i="5" s="1"/>
  <c r="AT10" i="5"/>
  <c r="ED9" i="5"/>
  <c r="CM9" i="5"/>
  <c r="ER9" i="5"/>
  <c r="CK9" i="5"/>
  <c r="BJ9" i="5"/>
  <c r="EE9" i="5"/>
  <c r="EZ9" i="5"/>
  <c r="FA9" i="5"/>
  <c r="EF9" i="5"/>
  <c r="Q9" i="5"/>
  <c r="EX9" i="5" l="1"/>
  <c r="FB9" i="5"/>
  <c r="FH9" i="5" s="1"/>
  <c r="EO9" i="5"/>
  <c r="EW9" i="5"/>
  <c r="ES10" i="5"/>
  <c r="EY10" i="5" s="1"/>
  <c r="AU10" i="5"/>
  <c r="EJ10" i="5"/>
  <c r="EP10" i="5" s="1"/>
  <c r="FG9" i="5"/>
  <c r="EG9" i="5"/>
  <c r="EG10" i="5"/>
  <c r="FF9" i="5"/>
  <c r="FB22" i="5"/>
  <c r="FH22" i="5" s="1"/>
  <c r="EJ22" i="5"/>
  <c r="EP22" i="5" s="1"/>
  <c r="ES22" i="5"/>
  <c r="EY22" i="5" s="1"/>
  <c r="CN22" i="5"/>
  <c r="ES9" i="5"/>
  <c r="CN9" i="5"/>
  <c r="AU9" i="5"/>
  <c r="EJ9" i="5"/>
  <c r="EP9" i="5" l="1"/>
  <c r="EY9" i="5"/>
  <c r="E40" i="5"/>
  <c r="K21" i="5"/>
  <c r="EV21" i="5"/>
  <c r="EM21" i="5"/>
  <c r="DZ21" i="5"/>
  <c r="DY21" i="5"/>
  <c r="DW21" i="5"/>
  <c r="DV21" i="5"/>
  <c r="DT21" i="5"/>
  <c r="DS21" i="5"/>
  <c r="DN21" i="5"/>
  <c r="DQ21" i="5" s="1"/>
  <c r="DM21" i="5"/>
  <c r="DP21" i="5" s="1"/>
  <c r="DL21" i="5"/>
  <c r="DI21" i="5"/>
  <c r="DF21" i="5"/>
  <c r="DB21" i="5"/>
  <c r="CX21" i="5"/>
  <c r="DA21" i="5" s="1"/>
  <c r="CW21" i="5"/>
  <c r="CT21" i="5"/>
  <c r="CQ21" i="5"/>
  <c r="CG21" i="5"/>
  <c r="CF21" i="5"/>
  <c r="CD21" i="5"/>
  <c r="CC21" i="5"/>
  <c r="BU21" i="5"/>
  <c r="BX21" i="5" s="1"/>
  <c r="BT21" i="5"/>
  <c r="BW21" i="5" s="1"/>
  <c r="BS21" i="5"/>
  <c r="BP21" i="5"/>
  <c r="BM21" i="5"/>
  <c r="BF21" i="5"/>
  <c r="BI21" i="5" s="1"/>
  <c r="BE21" i="5"/>
  <c r="BD21" i="5"/>
  <c r="BA21" i="5"/>
  <c r="AX21" i="5"/>
  <c r="AN21" i="5"/>
  <c r="AM21" i="5"/>
  <c r="AK21" i="5"/>
  <c r="AJ21" i="5"/>
  <c r="AH21" i="5"/>
  <c r="AG21" i="5"/>
  <c r="AB21" i="5"/>
  <c r="AE21" i="5" s="1"/>
  <c r="AA21" i="5"/>
  <c r="AD21" i="5" s="1"/>
  <c r="Z21" i="5"/>
  <c r="W21" i="5"/>
  <c r="T21" i="5"/>
  <c r="P21" i="5"/>
  <c r="H21" i="5"/>
  <c r="E21" i="5"/>
  <c r="N21" i="5" l="1"/>
  <c r="Q21" i="5" s="1"/>
  <c r="AP21" i="5"/>
  <c r="AS21" i="5" s="1"/>
  <c r="AO21" i="5"/>
  <c r="CB21" i="5"/>
  <c r="AI21" i="5"/>
  <c r="CI21" i="5"/>
  <c r="CL21" i="5" s="1"/>
  <c r="AQ21" i="5"/>
  <c r="AT21" i="5" s="1"/>
  <c r="EA21" i="5"/>
  <c r="DO21" i="5"/>
  <c r="DR21" i="5" s="1"/>
  <c r="DU21" i="5"/>
  <c r="CZ21" i="5"/>
  <c r="DC21" i="5" s="1"/>
  <c r="CH21" i="5"/>
  <c r="BV21" i="5"/>
  <c r="BY21" i="5" s="1"/>
  <c r="CE21" i="5"/>
  <c r="BH21" i="5"/>
  <c r="AC21" i="5"/>
  <c r="AF21" i="5" s="1"/>
  <c r="AL21" i="5"/>
  <c r="O21" i="5"/>
  <c r="BG21" i="5"/>
  <c r="EC21" i="5"/>
  <c r="CJ21" i="5"/>
  <c r="DX21" i="5"/>
  <c r="EB21" i="5"/>
  <c r="EQ21" i="5" l="1"/>
  <c r="EW21" i="5" s="1"/>
  <c r="EH21" i="5"/>
  <c r="EN21" i="5" s="1"/>
  <c r="AR21" i="5"/>
  <c r="EJ21" i="5" s="1"/>
  <c r="EP21" i="5" s="1"/>
  <c r="EI21" i="5"/>
  <c r="EO21" i="5" s="1"/>
  <c r="ED21" i="5"/>
  <c r="EG21" i="5" s="1"/>
  <c r="EF21" i="5"/>
  <c r="FA21" i="5"/>
  <c r="FG21" i="5" s="1"/>
  <c r="CM21" i="5"/>
  <c r="ER21" i="5"/>
  <c r="EX21" i="5" s="1"/>
  <c r="EE21" i="5"/>
  <c r="EZ21" i="5"/>
  <c r="FF21" i="5" s="1"/>
  <c r="CK21" i="5"/>
  <c r="BJ21" i="5"/>
  <c r="CH33" i="5"/>
  <c r="BM33" i="5"/>
  <c r="BP33" i="5"/>
  <c r="BV33" i="5" s="1"/>
  <c r="CF33" i="5"/>
  <c r="CG33" i="5"/>
  <c r="AU21" i="5" l="1"/>
  <c r="FB21" i="5"/>
  <c r="FH21" i="5" s="1"/>
  <c r="ES21" i="5"/>
  <c r="EY21" i="5" s="1"/>
  <c r="CN21" i="5"/>
  <c r="DY29" i="5" l="1"/>
  <c r="DY46" i="5"/>
  <c r="DY33" i="5"/>
  <c r="DY47" i="5"/>
  <c r="DY36" i="5"/>
  <c r="CQ13" i="5" l="1"/>
  <c r="DM34" i="5" l="1"/>
  <c r="DP34" i="5" s="1"/>
  <c r="DN34" i="5"/>
  <c r="DQ34" i="5" s="1"/>
  <c r="CX30" i="5"/>
  <c r="CA20" i="5"/>
  <c r="BZ20" i="5"/>
  <c r="E14" i="5"/>
  <c r="DT13" i="5"/>
  <c r="DT12" i="5"/>
  <c r="DT14" i="5"/>
  <c r="DT15" i="5"/>
  <c r="DT16" i="5"/>
  <c r="DT23" i="5"/>
  <c r="DT31" i="5"/>
  <c r="DT35" i="5"/>
  <c r="DT20" i="5"/>
  <c r="DT24" i="5"/>
  <c r="DT26" i="5"/>
  <c r="DT27" i="5"/>
  <c r="DT28" i="5"/>
  <c r="DT29" i="5"/>
  <c r="DT46" i="5"/>
  <c r="DT32" i="5"/>
  <c r="DT33" i="5"/>
  <c r="DT34" i="5"/>
  <c r="DT47" i="5"/>
  <c r="DT36" i="5"/>
  <c r="DT38" i="5"/>
  <c r="DT39" i="5"/>
  <c r="DT48" i="5"/>
  <c r="DT49" i="5"/>
  <c r="DT40" i="5"/>
  <c r="DT41" i="5"/>
  <c r="DT50" i="5"/>
  <c r="DT43" i="5"/>
  <c r="DT42" i="5"/>
  <c r="DS12" i="5"/>
  <c r="DS14" i="5"/>
  <c r="DS15" i="5"/>
  <c r="DS16" i="5"/>
  <c r="DS23" i="5"/>
  <c r="DS31" i="5"/>
  <c r="DS35" i="5"/>
  <c r="DS20" i="5"/>
  <c r="DS24" i="5"/>
  <c r="DS26" i="5"/>
  <c r="DS27" i="5"/>
  <c r="DS28" i="5"/>
  <c r="DS29" i="5"/>
  <c r="DS46" i="5"/>
  <c r="DS32" i="5"/>
  <c r="DS33" i="5"/>
  <c r="DS34" i="5"/>
  <c r="DS47" i="5"/>
  <c r="DS36" i="5"/>
  <c r="DS38" i="5"/>
  <c r="DS39" i="5"/>
  <c r="DS48" i="5"/>
  <c r="DS49" i="5"/>
  <c r="DS40" i="5"/>
  <c r="DS41" i="5"/>
  <c r="DS50" i="5"/>
  <c r="DS43" i="5"/>
  <c r="DS42" i="5"/>
  <c r="DS37" i="5"/>
  <c r="AN16" i="5"/>
  <c r="AM16" i="5"/>
  <c r="AH16" i="5"/>
  <c r="AG16" i="5"/>
  <c r="FE14" i="5" l="1"/>
  <c r="FE37" i="5"/>
  <c r="EV14" i="5"/>
  <c r="EV15" i="5"/>
  <c r="EV16" i="5"/>
  <c r="EV23" i="5"/>
  <c r="EV31" i="5"/>
  <c r="EV35" i="5"/>
  <c r="EV20" i="5"/>
  <c r="EV18" i="5"/>
  <c r="EV24" i="5"/>
  <c r="EV26" i="5"/>
  <c r="EV27" i="5"/>
  <c r="EV30" i="5"/>
  <c r="EV29" i="5"/>
  <c r="EV32" i="5"/>
  <c r="EV33" i="5"/>
  <c r="EV34" i="5"/>
  <c r="EV47" i="5"/>
  <c r="EV36" i="5"/>
  <c r="EV38" i="5"/>
  <c r="EV39" i="5"/>
  <c r="EV48" i="5"/>
  <c r="EV49" i="5"/>
  <c r="EV40" i="5"/>
  <c r="EV41" i="5"/>
  <c r="EV43" i="5"/>
  <c r="EV42" i="5"/>
  <c r="EM14" i="5"/>
  <c r="EM15" i="5"/>
  <c r="EM16" i="5"/>
  <c r="EM17" i="5"/>
  <c r="EM23" i="5"/>
  <c r="EM31" i="5"/>
  <c r="EM35" i="5"/>
  <c r="EM20" i="5"/>
  <c r="EM18" i="5"/>
  <c r="EM19" i="5"/>
  <c r="EM24" i="5"/>
  <c r="EM26" i="5"/>
  <c r="EM27" i="5"/>
  <c r="EM30" i="5"/>
  <c r="EM29" i="5"/>
  <c r="EM32" i="5"/>
  <c r="EM33" i="5"/>
  <c r="EM34" i="5"/>
  <c r="EM47" i="5"/>
  <c r="EM36" i="5"/>
  <c r="EM38" i="5"/>
  <c r="EM39" i="5"/>
  <c r="EM48" i="5"/>
  <c r="EM49" i="5"/>
  <c r="EM40" i="5"/>
  <c r="EM41" i="5"/>
  <c r="EM50" i="5"/>
  <c r="EM43" i="5"/>
  <c r="EM42" i="5"/>
  <c r="DL31" i="5"/>
  <c r="DL35" i="5"/>
  <c r="DL18" i="5"/>
  <c r="DL27" i="5"/>
  <c r="DL30" i="5"/>
  <c r="DL29" i="5"/>
  <c r="DL40" i="5"/>
  <c r="DI13" i="5"/>
  <c r="DI12" i="5"/>
  <c r="DO12" i="5" s="1"/>
  <c r="DI16" i="5"/>
  <c r="DO16" i="5" s="1"/>
  <c r="DI31" i="5"/>
  <c r="DI35" i="5"/>
  <c r="DI18" i="5"/>
  <c r="DI26" i="5"/>
  <c r="DI27" i="5"/>
  <c r="DI30" i="5"/>
  <c r="DI29" i="5"/>
  <c r="DI32" i="5"/>
  <c r="DI33" i="5"/>
  <c r="DO33" i="5" s="1"/>
  <c r="DI34" i="5"/>
  <c r="DI38" i="5"/>
  <c r="DI39" i="5"/>
  <c r="DO39" i="5" s="1"/>
  <c r="DI40" i="5"/>
  <c r="DI41" i="5"/>
  <c r="DO41" i="5" s="1"/>
  <c r="DI43" i="5"/>
  <c r="DO43" i="5" s="1"/>
  <c r="DI42" i="5"/>
  <c r="DF13" i="5"/>
  <c r="DU13" i="5" s="1"/>
  <c r="DF12" i="5"/>
  <c r="DF16" i="5"/>
  <c r="DF31" i="5"/>
  <c r="DF35" i="5"/>
  <c r="DF18" i="5"/>
  <c r="DF26" i="5"/>
  <c r="DF27" i="5"/>
  <c r="DF30" i="5"/>
  <c r="DF29" i="5"/>
  <c r="DF32" i="5"/>
  <c r="DF33" i="5"/>
  <c r="DF34" i="5"/>
  <c r="DF38" i="5"/>
  <c r="DF39" i="5"/>
  <c r="DF40" i="5"/>
  <c r="DF41" i="5"/>
  <c r="DF43" i="5"/>
  <c r="DF42" i="5"/>
  <c r="CW13" i="5"/>
  <c r="CW14" i="5"/>
  <c r="CW23" i="5"/>
  <c r="CW31" i="5"/>
  <c r="CW35" i="5"/>
  <c r="CW20" i="5"/>
  <c r="CW18" i="5"/>
  <c r="CW24" i="5"/>
  <c r="EA24" i="5" s="1"/>
  <c r="CW27" i="5"/>
  <c r="CW28" i="5"/>
  <c r="CW30" i="5"/>
  <c r="CW29" i="5"/>
  <c r="CW46" i="5"/>
  <c r="EA46" i="5" s="1"/>
  <c r="CW33" i="5"/>
  <c r="EA33" i="5" s="1"/>
  <c r="CW47" i="5"/>
  <c r="EA47" i="5" s="1"/>
  <c r="CW36" i="5"/>
  <c r="CW40" i="5"/>
  <c r="CT13" i="5"/>
  <c r="CT12" i="5"/>
  <c r="CT14" i="5"/>
  <c r="DX14" i="5" s="1"/>
  <c r="CT15" i="5"/>
  <c r="CZ15" i="5" s="1"/>
  <c r="ED15" i="5" s="1"/>
  <c r="FB15" i="5" s="1"/>
  <c r="CT16" i="5"/>
  <c r="CZ16" i="5" s="1"/>
  <c r="CT23" i="5"/>
  <c r="DX23" i="5" s="1"/>
  <c r="CT31" i="5"/>
  <c r="CT35" i="5"/>
  <c r="CT20" i="5"/>
  <c r="CT18" i="5"/>
  <c r="CT24" i="5"/>
  <c r="DX24" i="5" s="1"/>
  <c r="CT26" i="5"/>
  <c r="CZ26" i="5" s="1"/>
  <c r="CT27" i="5"/>
  <c r="CT28" i="5"/>
  <c r="CT30" i="5"/>
  <c r="CT29" i="5"/>
  <c r="CT46" i="5"/>
  <c r="DX46" i="5" s="1"/>
  <c r="CT32" i="5"/>
  <c r="CZ32" i="5" s="1"/>
  <c r="CT33" i="5"/>
  <c r="CT34" i="5"/>
  <c r="CT47" i="5"/>
  <c r="CT36" i="5"/>
  <c r="DX36" i="5" s="1"/>
  <c r="CT38" i="5"/>
  <c r="CT39" i="5"/>
  <c r="CZ39" i="5" s="1"/>
  <c r="CT48" i="5"/>
  <c r="DX48" i="5" s="1"/>
  <c r="CT49" i="5"/>
  <c r="CZ49" i="5" s="1"/>
  <c r="CT40" i="5"/>
  <c r="CT41" i="5"/>
  <c r="CZ41" i="5" s="1"/>
  <c r="CT50" i="5"/>
  <c r="DX50" i="5" s="1"/>
  <c r="CT43" i="5"/>
  <c r="CZ43" i="5" s="1"/>
  <c r="CT42" i="5"/>
  <c r="CQ12" i="5"/>
  <c r="CQ14" i="5"/>
  <c r="DU14" i="5" s="1"/>
  <c r="CQ15" i="5"/>
  <c r="DU15" i="5" s="1"/>
  <c r="CQ16" i="5"/>
  <c r="CQ23" i="5"/>
  <c r="DU23" i="5" s="1"/>
  <c r="CQ31" i="5"/>
  <c r="CQ35" i="5"/>
  <c r="CQ20" i="5"/>
  <c r="DU20" i="5" s="1"/>
  <c r="CQ18" i="5"/>
  <c r="CQ24" i="5"/>
  <c r="DU24" i="5" s="1"/>
  <c r="CQ26" i="5"/>
  <c r="CQ27" i="5"/>
  <c r="CQ28" i="5"/>
  <c r="CQ30" i="5"/>
  <c r="CQ29" i="5"/>
  <c r="CQ46" i="5"/>
  <c r="DU46" i="5" s="1"/>
  <c r="CQ32" i="5"/>
  <c r="CQ33" i="5"/>
  <c r="CQ34" i="5"/>
  <c r="CQ47" i="5"/>
  <c r="DU47" i="5" s="1"/>
  <c r="CQ36" i="5"/>
  <c r="DU36" i="5" s="1"/>
  <c r="CQ38" i="5"/>
  <c r="CQ39" i="5"/>
  <c r="CQ48" i="5"/>
  <c r="DU48" i="5" s="1"/>
  <c r="CQ49" i="5"/>
  <c r="DU49" i="5" s="1"/>
  <c r="CQ40" i="5"/>
  <c r="CQ41" i="5"/>
  <c r="CQ50" i="5"/>
  <c r="DU50" i="5" s="1"/>
  <c r="CQ43" i="5"/>
  <c r="CQ42" i="5"/>
  <c r="BS31" i="5"/>
  <c r="BS35" i="5"/>
  <c r="BS18" i="5"/>
  <c r="BS27" i="5"/>
  <c r="BS30" i="5"/>
  <c r="BS29" i="5"/>
  <c r="BS40" i="5"/>
  <c r="BP13" i="5"/>
  <c r="BV13" i="5" s="1"/>
  <c r="BP12" i="5"/>
  <c r="BP16" i="5"/>
  <c r="BV16" i="5" s="1"/>
  <c r="BP31" i="5"/>
  <c r="BP35" i="5"/>
  <c r="BP18" i="5"/>
  <c r="BP26" i="5"/>
  <c r="BP27" i="5"/>
  <c r="BP30" i="5"/>
  <c r="BP29" i="5"/>
  <c r="BP32" i="5"/>
  <c r="BV32" i="5" s="1"/>
  <c r="BP34" i="5"/>
  <c r="BV34" i="5" s="1"/>
  <c r="BP38" i="5"/>
  <c r="BP39" i="5"/>
  <c r="BP49" i="5"/>
  <c r="BV49" i="5" s="1"/>
  <c r="BP40" i="5"/>
  <c r="BP41" i="5"/>
  <c r="BP43" i="5"/>
  <c r="BV43" i="5" s="1"/>
  <c r="BP42" i="5"/>
  <c r="BM13" i="5"/>
  <c r="BM12" i="5"/>
  <c r="BM16" i="5"/>
  <c r="BM31" i="5"/>
  <c r="BM35" i="5"/>
  <c r="BM18" i="5"/>
  <c r="BM26" i="5"/>
  <c r="BM27" i="5"/>
  <c r="BM30" i="5"/>
  <c r="BM29" i="5"/>
  <c r="BM32" i="5"/>
  <c r="BM34" i="5"/>
  <c r="BM38" i="5"/>
  <c r="BM39" i="5"/>
  <c r="BM49" i="5"/>
  <c r="BM40" i="5"/>
  <c r="BM41" i="5"/>
  <c r="BM43" i="5"/>
  <c r="BM42" i="5"/>
  <c r="BD13" i="5"/>
  <c r="BD14" i="5"/>
  <c r="CH14" i="5" s="1"/>
  <c r="BD23" i="5"/>
  <c r="CH23" i="5" s="1"/>
  <c r="BD31" i="5"/>
  <c r="BD35" i="5"/>
  <c r="BD20" i="5"/>
  <c r="CH20" i="5" s="1"/>
  <c r="BD18" i="5"/>
  <c r="BD24" i="5"/>
  <c r="CH24" i="5" s="1"/>
  <c r="BD27" i="5"/>
  <c r="BD28" i="5"/>
  <c r="CH28" i="5" s="1"/>
  <c r="BD30" i="5"/>
  <c r="BD29" i="5"/>
  <c r="BD46" i="5"/>
  <c r="BD47" i="5"/>
  <c r="CH47" i="5" s="1"/>
  <c r="BD36" i="5"/>
  <c r="CH36" i="5" s="1"/>
  <c r="BD48" i="5"/>
  <c r="BD40" i="5"/>
  <c r="BD37" i="5"/>
  <c r="BA13" i="5"/>
  <c r="BA45" i="5"/>
  <c r="CE45" i="5" s="1"/>
  <c r="BA12" i="5"/>
  <c r="BA14" i="5"/>
  <c r="CE14" i="5" s="1"/>
  <c r="BA15" i="5"/>
  <c r="CE15" i="5" s="1"/>
  <c r="BA16" i="5"/>
  <c r="BA23" i="5"/>
  <c r="CE23" i="5" s="1"/>
  <c r="BA31" i="5"/>
  <c r="BA35" i="5"/>
  <c r="BA20" i="5"/>
  <c r="BA18" i="5"/>
  <c r="BA24" i="5"/>
  <c r="CE24" i="5" s="1"/>
  <c r="BA26" i="5"/>
  <c r="BG26" i="5" s="1"/>
  <c r="BA27" i="5"/>
  <c r="BA28" i="5"/>
  <c r="BA30" i="5"/>
  <c r="BA29" i="5"/>
  <c r="BA46" i="5"/>
  <c r="CE46" i="5" s="1"/>
  <c r="BA32" i="5"/>
  <c r="BG32" i="5" s="1"/>
  <c r="BA33" i="5"/>
  <c r="CE33" i="5" s="1"/>
  <c r="BA34" i="5"/>
  <c r="BA47" i="5"/>
  <c r="BA36" i="5"/>
  <c r="CE36" i="5" s="1"/>
  <c r="BA38" i="5"/>
  <c r="BA39" i="5"/>
  <c r="BG39" i="5" s="1"/>
  <c r="BA48" i="5"/>
  <c r="CE48" i="5" s="1"/>
  <c r="BA49" i="5"/>
  <c r="BA40" i="5"/>
  <c r="BA41" i="5"/>
  <c r="BG41" i="5" s="1"/>
  <c r="BA50" i="5"/>
  <c r="BG50" i="5" s="1"/>
  <c r="BA43" i="5"/>
  <c r="BA42" i="5"/>
  <c r="AX13" i="5"/>
  <c r="AX45" i="5"/>
  <c r="CB45" i="5" s="1"/>
  <c r="AX12" i="5"/>
  <c r="AX14" i="5"/>
  <c r="CB14" i="5" s="1"/>
  <c r="AX15" i="5"/>
  <c r="CB15" i="5" s="1"/>
  <c r="AX16" i="5"/>
  <c r="AX23" i="5"/>
  <c r="CB23" i="5" s="1"/>
  <c r="AX31" i="5"/>
  <c r="AX35" i="5"/>
  <c r="AX20" i="5"/>
  <c r="CB20" i="5" s="1"/>
  <c r="AX18" i="5"/>
  <c r="AX24" i="5"/>
  <c r="CB24" i="5" s="1"/>
  <c r="AX26" i="5"/>
  <c r="AX27" i="5"/>
  <c r="AX28" i="5"/>
  <c r="AX30" i="5"/>
  <c r="AX29" i="5"/>
  <c r="AX46" i="5"/>
  <c r="CB46" i="5" s="1"/>
  <c r="AX32" i="5"/>
  <c r="AX33" i="5"/>
  <c r="CB33" i="5" s="1"/>
  <c r="AX34" i="5"/>
  <c r="AX47" i="5"/>
  <c r="CB47" i="5" s="1"/>
  <c r="AX36" i="5"/>
  <c r="CB36" i="5" s="1"/>
  <c r="AX38" i="5"/>
  <c r="AX39" i="5"/>
  <c r="AX48" i="5"/>
  <c r="CB48" i="5" s="1"/>
  <c r="AX49" i="5"/>
  <c r="AX40" i="5"/>
  <c r="AX41" i="5"/>
  <c r="AX50" i="5"/>
  <c r="AX43" i="5"/>
  <c r="AX42" i="5"/>
  <c r="FE51" i="5" l="1"/>
  <c r="CZ12" i="5"/>
  <c r="ED12" i="5" s="1"/>
  <c r="FB12" i="5" s="1"/>
  <c r="FH12" i="5" s="1"/>
  <c r="BG12" i="5"/>
  <c r="CB18" i="5"/>
  <c r="BD51" i="5"/>
  <c r="DX40" i="5"/>
  <c r="DO26" i="5"/>
  <c r="DR26" i="5" s="1"/>
  <c r="CE18" i="5"/>
  <c r="DU18" i="5"/>
  <c r="CB49" i="5"/>
  <c r="CH18" i="5"/>
  <c r="DU30" i="5"/>
  <c r="EA30" i="5"/>
  <c r="CZ30" i="5"/>
  <c r="DX30" i="5"/>
  <c r="CZ34" i="5"/>
  <c r="DX34" i="5"/>
  <c r="CB32" i="5"/>
  <c r="BG20" i="5"/>
  <c r="CK20" i="5" s="1"/>
  <c r="ES20" i="5" s="1"/>
  <c r="EY20" i="5" s="1"/>
  <c r="CB28" i="5"/>
  <c r="CB43" i="5"/>
  <c r="CB34" i="5"/>
  <c r="DU35" i="5"/>
  <c r="BG13" i="5"/>
  <c r="CK13" i="5" s="1"/>
  <c r="BV27" i="5"/>
  <c r="CH40" i="5"/>
  <c r="CB40" i="5"/>
  <c r="DX18" i="5"/>
  <c r="CB42" i="5"/>
  <c r="CB38" i="5"/>
  <c r="CB39" i="5"/>
  <c r="CB29" i="5"/>
  <c r="CB26" i="5"/>
  <c r="CB50" i="5"/>
  <c r="CB27" i="5"/>
  <c r="CE43" i="5"/>
  <c r="CK32" i="5"/>
  <c r="ES32" i="5" s="1"/>
  <c r="EY32" i="5" s="1"/>
  <c r="BV29" i="5"/>
  <c r="BG42" i="5"/>
  <c r="DO42" i="5"/>
  <c r="DR42" i="5" s="1"/>
  <c r="CB30" i="5"/>
  <c r="CB41" i="5"/>
  <c r="BV30" i="5"/>
  <c r="DU41" i="5"/>
  <c r="DU16" i="5"/>
  <c r="DX38" i="5"/>
  <c r="CZ35" i="5"/>
  <c r="EA31" i="5"/>
  <c r="DR16" i="5"/>
  <c r="EA13" i="5"/>
  <c r="BG14" i="5"/>
  <c r="CB35" i="5"/>
  <c r="CE34" i="5"/>
  <c r="CE16" i="5"/>
  <c r="BG15" i="5"/>
  <c r="DU40" i="5"/>
  <c r="DX31" i="5"/>
  <c r="DU39" i="5"/>
  <c r="DR33" i="5"/>
  <c r="DX15" i="5"/>
  <c r="BG28" i="5"/>
  <c r="CK28" i="5" s="1"/>
  <c r="BG43" i="5"/>
  <c r="CE32" i="5"/>
  <c r="CZ47" i="5"/>
  <c r="ED47" i="5" s="1"/>
  <c r="FB47" i="5" s="1"/>
  <c r="DR39" i="5"/>
  <c r="DX35" i="5"/>
  <c r="DU31" i="5"/>
  <c r="BG18" i="5"/>
  <c r="BG16" i="5"/>
  <c r="DU38" i="5"/>
  <c r="DU32" i="5"/>
  <c r="BG38" i="5"/>
  <c r="BG30" i="5"/>
  <c r="BG35" i="5"/>
  <c r="BG46" i="5"/>
  <c r="CK46" i="5" s="1"/>
  <c r="ES46" i="5" s="1"/>
  <c r="BG27" i="5"/>
  <c r="BG45" i="5"/>
  <c r="CB16" i="5"/>
  <c r="CE49" i="5"/>
  <c r="CE27" i="5"/>
  <c r="CE35" i="5"/>
  <c r="CE20" i="5"/>
  <c r="CH46" i="5"/>
  <c r="DX39" i="5"/>
  <c r="EA35" i="5"/>
  <c r="CZ18" i="5"/>
  <c r="DR43" i="5"/>
  <c r="DO38" i="5"/>
  <c r="DR38" i="5" s="1"/>
  <c r="DO29" i="5"/>
  <c r="DR29" i="5" s="1"/>
  <c r="DX41" i="5"/>
  <c r="CZ38" i="5"/>
  <c r="CH31" i="5"/>
  <c r="CE28" i="5"/>
  <c r="BG24" i="5"/>
  <c r="BG31" i="5"/>
  <c r="CB12" i="5"/>
  <c r="CE50" i="5"/>
  <c r="CE39" i="5"/>
  <c r="CH35" i="5"/>
  <c r="CH13" i="5"/>
  <c r="DX42" i="5"/>
  <c r="DX33" i="5"/>
  <c r="CZ42" i="5"/>
  <c r="DU33" i="5"/>
  <c r="DO30" i="5"/>
  <c r="BG33" i="5"/>
  <c r="CE12" i="5"/>
  <c r="CZ28" i="5"/>
  <c r="DU27" i="5"/>
  <c r="BG34" i="5"/>
  <c r="CK34" i="5" s="1"/>
  <c r="ES34" i="5" s="1"/>
  <c r="EY34" i="5" s="1"/>
  <c r="BV39" i="5"/>
  <c r="CK39" i="5" s="1"/>
  <c r="ES39" i="5" s="1"/>
  <c r="EY39" i="5" s="1"/>
  <c r="CZ33" i="5"/>
  <c r="ED33" i="5" s="1"/>
  <c r="FB33" i="5" s="1"/>
  <c r="DU43" i="5"/>
  <c r="DU28" i="5"/>
  <c r="DO35" i="5"/>
  <c r="DR35" i="5" s="1"/>
  <c r="DX16" i="5"/>
  <c r="BG48" i="5"/>
  <c r="BG47" i="5"/>
  <c r="BG36" i="5"/>
  <c r="CB31" i="5"/>
  <c r="BV12" i="5"/>
  <c r="CH48" i="5"/>
  <c r="CZ14" i="5"/>
  <c r="ED14" i="5" s="1"/>
  <c r="FB14" i="5" s="1"/>
  <c r="CZ48" i="5"/>
  <c r="ED48" i="5" s="1"/>
  <c r="FB48" i="5" s="1"/>
  <c r="CZ31" i="5"/>
  <c r="DU42" i="5"/>
  <c r="DU34" i="5"/>
  <c r="DU12" i="5"/>
  <c r="DR41" i="5"/>
  <c r="DX47" i="5"/>
  <c r="DR12" i="5"/>
  <c r="EA28" i="5"/>
  <c r="EA14" i="5"/>
  <c r="DX28" i="5"/>
  <c r="EA40" i="5"/>
  <c r="CZ24" i="5"/>
  <c r="ED24" i="5" s="1"/>
  <c r="FB24" i="5" s="1"/>
  <c r="DO40" i="5"/>
  <c r="DR40" i="5" s="1"/>
  <c r="DX13" i="5"/>
  <c r="CB13" i="5"/>
  <c r="CH27" i="5"/>
  <c r="CZ50" i="5"/>
  <c r="ED50" i="5" s="1"/>
  <c r="FB50" i="5" s="1"/>
  <c r="EA27" i="5"/>
  <c r="EA18" i="5"/>
  <c r="DU29" i="5"/>
  <c r="DU26" i="5"/>
  <c r="DX43" i="5"/>
  <c r="DX32" i="5"/>
  <c r="DO27" i="5"/>
  <c r="DR27" i="5" s="1"/>
  <c r="ED39" i="5"/>
  <c r="FB39" i="5" s="1"/>
  <c r="BV41" i="5"/>
  <c r="CE41" i="5"/>
  <c r="BV38" i="5"/>
  <c r="CE38" i="5"/>
  <c r="CE29" i="5"/>
  <c r="BV26" i="5"/>
  <c r="CK26" i="5" s="1"/>
  <c r="CE26" i="5"/>
  <c r="BV18" i="5"/>
  <c r="BV31" i="5"/>
  <c r="CE31" i="5"/>
  <c r="CE13" i="5"/>
  <c r="EA36" i="5"/>
  <c r="CZ36" i="5"/>
  <c r="ED36" i="5" s="1"/>
  <c r="FB36" i="5" s="1"/>
  <c r="EA29" i="5"/>
  <c r="CZ29" i="5"/>
  <c r="CZ20" i="5"/>
  <c r="EA20" i="5"/>
  <c r="CZ23" i="5"/>
  <c r="ED23" i="5" s="1"/>
  <c r="FB23" i="5" s="1"/>
  <c r="EA23" i="5"/>
  <c r="CH29" i="5"/>
  <c r="BG29" i="5"/>
  <c r="DX49" i="5"/>
  <c r="DO34" i="5"/>
  <c r="DR34" i="5" s="1"/>
  <c r="DX20" i="5"/>
  <c r="BV42" i="5"/>
  <c r="CE42" i="5"/>
  <c r="BV40" i="5"/>
  <c r="CE40" i="5"/>
  <c r="CE47" i="5"/>
  <c r="CE30" i="5"/>
  <c r="CH30" i="5"/>
  <c r="ED41" i="5"/>
  <c r="FB41" i="5" s="1"/>
  <c r="BG49" i="5"/>
  <c r="BG23" i="5"/>
  <c r="CK23" i="5" s="1"/>
  <c r="ES23" i="5" s="1"/>
  <c r="EY23" i="5" s="1"/>
  <c r="BV35" i="5"/>
  <c r="CZ40" i="5"/>
  <c r="BG40" i="5"/>
  <c r="DO18" i="5"/>
  <c r="DR18" i="5" s="1"/>
  <c r="DO31" i="5"/>
  <c r="DR31" i="5" s="1"/>
  <c r="ED16" i="5"/>
  <c r="FB16" i="5" s="1"/>
  <c r="CZ13" i="5"/>
  <c r="DO13" i="5"/>
  <c r="DR13" i="5" s="1"/>
  <c r="DX29" i="5"/>
  <c r="DX26" i="5"/>
  <c r="CZ46" i="5"/>
  <c r="ED46" i="5" s="1"/>
  <c r="FB46" i="5" s="1"/>
  <c r="CZ27" i="5"/>
  <c r="DX27" i="5"/>
  <c r="DX12" i="5"/>
  <c r="DO32" i="5"/>
  <c r="DR32" i="5" s="1"/>
  <c r="ED43" i="5"/>
  <c r="FB43" i="5" s="1"/>
  <c r="BA37" i="5"/>
  <c r="BA51" i="5" s="1"/>
  <c r="AI14" i="5"/>
  <c r="Z45" i="5"/>
  <c r="Z31" i="5"/>
  <c r="Z35" i="5"/>
  <c r="Z18" i="5"/>
  <c r="Z27" i="5"/>
  <c r="Z30" i="5"/>
  <c r="Z29" i="5"/>
  <c r="Z40" i="5"/>
  <c r="W13" i="5"/>
  <c r="AC13" i="5" s="1"/>
  <c r="W45" i="5"/>
  <c r="W12" i="5"/>
  <c r="W16" i="5"/>
  <c r="AC16" i="5" s="1"/>
  <c r="W17" i="5"/>
  <c r="AC17" i="5" s="1"/>
  <c r="W31" i="5"/>
  <c r="W35" i="5"/>
  <c r="W18" i="5"/>
  <c r="W19" i="5"/>
  <c r="AC19" i="5" s="1"/>
  <c r="AR19" i="5" s="1"/>
  <c r="EJ19" i="5" s="1"/>
  <c r="W25" i="5"/>
  <c r="W26" i="5"/>
  <c r="AC26" i="5" s="1"/>
  <c r="W27" i="5"/>
  <c r="W28" i="5"/>
  <c r="W30" i="5"/>
  <c r="W29" i="5"/>
  <c r="W32" i="5"/>
  <c r="W33" i="5"/>
  <c r="W34" i="5"/>
  <c r="AC34" i="5" s="1"/>
  <c r="W44" i="5"/>
  <c r="AC44" i="5" s="1"/>
  <c r="W38" i="5"/>
  <c r="W39" i="5"/>
  <c r="AC39" i="5" s="1"/>
  <c r="W49" i="5"/>
  <c r="AC49" i="5" s="1"/>
  <c r="W40" i="5"/>
  <c r="W41" i="5"/>
  <c r="AC41" i="5" s="1"/>
  <c r="W50" i="5"/>
  <c r="W43" i="5"/>
  <c r="AC43" i="5" s="1"/>
  <c r="W42" i="5"/>
  <c r="T25" i="5"/>
  <c r="T26" i="5"/>
  <c r="T27" i="5"/>
  <c r="T28" i="5"/>
  <c r="T30" i="5"/>
  <c r="T29" i="5"/>
  <c r="T32" i="5"/>
  <c r="T33" i="5"/>
  <c r="T34" i="5"/>
  <c r="T44" i="5"/>
  <c r="T38" i="5"/>
  <c r="T39" i="5"/>
  <c r="T49" i="5"/>
  <c r="T40" i="5"/>
  <c r="AI40" i="5" s="1"/>
  <c r="T41" i="5"/>
  <c r="T50" i="5"/>
  <c r="T43" i="5"/>
  <c r="T42" i="5"/>
  <c r="K13" i="5"/>
  <c r="K45" i="5"/>
  <c r="K14" i="5"/>
  <c r="AO14" i="5" s="1"/>
  <c r="K23" i="5"/>
  <c r="AO23" i="5" s="1"/>
  <c r="K31" i="5"/>
  <c r="K35" i="5"/>
  <c r="K20" i="5"/>
  <c r="K18" i="5"/>
  <c r="K24" i="5"/>
  <c r="AO24" i="5" s="1"/>
  <c r="K27" i="5"/>
  <c r="K28" i="5"/>
  <c r="AO28" i="5" s="1"/>
  <c r="K30" i="5"/>
  <c r="K29" i="5"/>
  <c r="K46" i="5"/>
  <c r="AO46" i="5" s="1"/>
  <c r="K33" i="5"/>
  <c r="K47" i="5"/>
  <c r="K36" i="5"/>
  <c r="AO36" i="5" s="1"/>
  <c r="K44" i="5"/>
  <c r="AO44" i="5" s="1"/>
  <c r="K48" i="5"/>
  <c r="K40" i="5"/>
  <c r="H13" i="5"/>
  <c r="H45" i="5"/>
  <c r="H12" i="5"/>
  <c r="H14" i="5"/>
  <c r="H15" i="5"/>
  <c r="H16" i="5"/>
  <c r="N16" i="5" s="1"/>
  <c r="H23" i="5"/>
  <c r="H31" i="5"/>
  <c r="H35" i="5"/>
  <c r="H20" i="5"/>
  <c r="H18" i="5"/>
  <c r="H24" i="5"/>
  <c r="H25" i="5"/>
  <c r="H26" i="5"/>
  <c r="N26" i="5" s="1"/>
  <c r="H27" i="5"/>
  <c r="H28" i="5"/>
  <c r="H30" i="5"/>
  <c r="H29" i="5"/>
  <c r="H46" i="5"/>
  <c r="H32" i="5"/>
  <c r="N32" i="5" s="1"/>
  <c r="H33" i="5"/>
  <c r="H34" i="5"/>
  <c r="N34" i="5" s="1"/>
  <c r="H47" i="5"/>
  <c r="H36" i="5"/>
  <c r="H44" i="5"/>
  <c r="H38" i="5"/>
  <c r="H39" i="5"/>
  <c r="H48" i="5"/>
  <c r="H49" i="5"/>
  <c r="N49" i="5" s="1"/>
  <c r="H40" i="5"/>
  <c r="H41" i="5"/>
  <c r="N41" i="5" s="1"/>
  <c r="H50" i="5"/>
  <c r="N50" i="5" s="1"/>
  <c r="H43" i="5"/>
  <c r="N43" i="5" s="1"/>
  <c r="H42" i="5"/>
  <c r="E13" i="5"/>
  <c r="E45" i="5"/>
  <c r="E12" i="5"/>
  <c r="E15" i="5"/>
  <c r="AI15" i="5" s="1"/>
  <c r="E16" i="5"/>
  <c r="E23" i="5"/>
  <c r="AI23" i="5" s="1"/>
  <c r="E31" i="5"/>
  <c r="E35" i="5"/>
  <c r="E20" i="5"/>
  <c r="AI20" i="5" s="1"/>
  <c r="E18" i="5"/>
  <c r="E24" i="5"/>
  <c r="AI24" i="5" s="1"/>
  <c r="E25" i="5"/>
  <c r="E26" i="5"/>
  <c r="E27" i="5"/>
  <c r="E28" i="5"/>
  <c r="E30" i="5"/>
  <c r="E29" i="5"/>
  <c r="E46" i="5"/>
  <c r="AI46" i="5" s="1"/>
  <c r="E32" i="5"/>
  <c r="E33" i="5"/>
  <c r="E34" i="5"/>
  <c r="E47" i="5"/>
  <c r="AI47" i="5" s="1"/>
  <c r="E36" i="5"/>
  <c r="AI36" i="5" s="1"/>
  <c r="E44" i="5"/>
  <c r="E38" i="5"/>
  <c r="E39" i="5"/>
  <c r="E48" i="5"/>
  <c r="AI48" i="5" s="1"/>
  <c r="E49" i="5"/>
  <c r="E50" i="5"/>
  <c r="E43" i="5"/>
  <c r="E42" i="5"/>
  <c r="DL37" i="5"/>
  <c r="DL51" i="5" s="1"/>
  <c r="BS37" i="5"/>
  <c r="BS51" i="5" s="1"/>
  <c r="BP37" i="5"/>
  <c r="BP51" i="5" s="1"/>
  <c r="Z37" i="5"/>
  <c r="W37" i="5"/>
  <c r="T37" i="5"/>
  <c r="K37" i="5"/>
  <c r="H37" i="5"/>
  <c r="E37" i="5"/>
  <c r="T16" i="5"/>
  <c r="T12" i="5"/>
  <c r="T31" i="5"/>
  <c r="T35" i="5"/>
  <c r="T18" i="5"/>
  <c r="T19" i="5"/>
  <c r="AI19" i="5" s="1"/>
  <c r="DZ13" i="5"/>
  <c r="DY13" i="5"/>
  <c r="DW13" i="5"/>
  <c r="DV13" i="5"/>
  <c r="DS13" i="5"/>
  <c r="DN13" i="5"/>
  <c r="DQ13" i="5" s="1"/>
  <c r="DM13" i="5"/>
  <c r="DP13" i="5" s="1"/>
  <c r="CX13" i="5"/>
  <c r="CG13" i="5"/>
  <c r="CF13" i="5"/>
  <c r="CD13" i="5"/>
  <c r="CC13" i="5"/>
  <c r="CA13" i="5"/>
  <c r="BZ13" i="5"/>
  <c r="BX13" i="5"/>
  <c r="BW13" i="5"/>
  <c r="BF13" i="5"/>
  <c r="AN13" i="5"/>
  <c r="AM13" i="5"/>
  <c r="AK13" i="5"/>
  <c r="AJ13" i="5"/>
  <c r="AH13" i="5"/>
  <c r="AG13" i="5"/>
  <c r="AE13" i="5"/>
  <c r="AD13" i="5"/>
  <c r="T13" i="5"/>
  <c r="ED26" i="5" l="1"/>
  <c r="FB26" i="5" s="1"/>
  <c r="DS51" i="5"/>
  <c r="N12" i="5"/>
  <c r="H51" i="5"/>
  <c r="Z51" i="5"/>
  <c r="E51" i="5"/>
  <c r="K51" i="5"/>
  <c r="AC12" i="5"/>
  <c r="AF12" i="5" s="1"/>
  <c r="W51" i="5"/>
  <c r="CK40" i="5"/>
  <c r="ES40" i="5" s="1"/>
  <c r="EY40" i="5" s="1"/>
  <c r="N33" i="5"/>
  <c r="N31" i="5"/>
  <c r="AI18" i="5"/>
  <c r="AO18" i="5"/>
  <c r="CK27" i="5"/>
  <c r="ES27" i="5" s="1"/>
  <c r="EY27" i="5" s="1"/>
  <c r="CK18" i="5"/>
  <c r="ES18" i="5" s="1"/>
  <c r="EY18" i="5" s="1"/>
  <c r="AI38" i="5"/>
  <c r="AL18" i="5"/>
  <c r="ED30" i="5"/>
  <c r="FB30" i="5" s="1"/>
  <c r="N30" i="5"/>
  <c r="ED40" i="5"/>
  <c r="FB40" i="5" s="1"/>
  <c r="CK35" i="5"/>
  <c r="ES35" i="5" s="1"/>
  <c r="EY35" i="5" s="1"/>
  <c r="N38" i="5"/>
  <c r="N44" i="5"/>
  <c r="AR44" i="5" s="1"/>
  <c r="N13" i="5"/>
  <c r="Q13" i="5" s="1"/>
  <c r="N36" i="5"/>
  <c r="AR36" i="5" s="1"/>
  <c r="EJ36" i="5" s="1"/>
  <c r="N28" i="5"/>
  <c r="AO29" i="5"/>
  <c r="AL24" i="5"/>
  <c r="N24" i="5"/>
  <c r="AR24" i="5" s="1"/>
  <c r="EJ24" i="5" s="1"/>
  <c r="AL14" i="5"/>
  <c r="N14" i="5"/>
  <c r="AR14" i="5" s="1"/>
  <c r="EJ14" i="5" s="1"/>
  <c r="CK48" i="5"/>
  <c r="ES48" i="5" s="1"/>
  <c r="EY48" i="5" s="1"/>
  <c r="CK45" i="5"/>
  <c r="ES45" i="5" s="1"/>
  <c r="EY45" i="5" s="1"/>
  <c r="BH13" i="5"/>
  <c r="CI13" i="5"/>
  <c r="N15" i="5"/>
  <c r="AR15" i="5" s="1"/>
  <c r="CK49" i="5"/>
  <c r="ES49" i="5" s="1"/>
  <c r="EY49" i="5" s="1"/>
  <c r="CK47" i="5"/>
  <c r="ES47" i="5" s="1"/>
  <c r="EY47" i="5" s="1"/>
  <c r="ED42" i="5"/>
  <c r="CK43" i="5"/>
  <c r="ES43" i="5" s="1"/>
  <c r="EY43" i="5" s="1"/>
  <c r="AL20" i="5"/>
  <c r="N20" i="5"/>
  <c r="Q20" i="5" s="1"/>
  <c r="AL39" i="5"/>
  <c r="N39" i="5"/>
  <c r="AR39" i="5" s="1"/>
  <c r="AL47" i="5"/>
  <c r="N47" i="5"/>
  <c r="AL46" i="5"/>
  <c r="N46" i="5"/>
  <c r="AR46" i="5" s="1"/>
  <c r="EJ46" i="5" s="1"/>
  <c r="AL23" i="5"/>
  <c r="N23" i="5"/>
  <c r="AR23" i="5" s="1"/>
  <c r="EJ23" i="5" s="1"/>
  <c r="CK14" i="5"/>
  <c r="ES14" i="5" s="1"/>
  <c r="EY14" i="5" s="1"/>
  <c r="CK42" i="5"/>
  <c r="ES42" i="5" s="1"/>
  <c r="EY42" i="5" s="1"/>
  <c r="N35" i="5"/>
  <c r="N40" i="5"/>
  <c r="AI16" i="5"/>
  <c r="N27" i="5"/>
  <c r="N18" i="5"/>
  <c r="AC45" i="5"/>
  <c r="ED38" i="5"/>
  <c r="FB38" i="5" s="1"/>
  <c r="CK29" i="5"/>
  <c r="ES29" i="5" s="1"/>
  <c r="EY29" i="5" s="1"/>
  <c r="ES26" i="5"/>
  <c r="EY26" i="5" s="1"/>
  <c r="CK31" i="5"/>
  <c r="ES31" i="5" s="1"/>
  <c r="EY31" i="5" s="1"/>
  <c r="CK30" i="5"/>
  <c r="ES30" i="5" s="1"/>
  <c r="EY30" i="5" s="1"/>
  <c r="BI13" i="5"/>
  <c r="CJ13" i="5"/>
  <c r="AL48" i="5"/>
  <c r="N48" i="5"/>
  <c r="AR48" i="5" s="1"/>
  <c r="EJ48" i="5" s="1"/>
  <c r="CK33" i="5"/>
  <c r="ES33" i="5" s="1"/>
  <c r="EY33" i="5" s="1"/>
  <c r="CK15" i="5"/>
  <c r="ES15" i="5" s="1"/>
  <c r="EY15" i="5" s="1"/>
  <c r="N42" i="5"/>
  <c r="CK36" i="5"/>
  <c r="ES36" i="5" s="1"/>
  <c r="EY36" i="5" s="1"/>
  <c r="CK24" i="5"/>
  <c r="ES24" i="5" s="1"/>
  <c r="EY24" i="5" s="1"/>
  <c r="CK16" i="5"/>
  <c r="ES16" i="5" s="1"/>
  <c r="EY16" i="5" s="1"/>
  <c r="CK50" i="5"/>
  <c r="ES50" i="5" s="1"/>
  <c r="CK12" i="5"/>
  <c r="ES12" i="5" s="1"/>
  <c r="EY12" i="5" s="1"/>
  <c r="N25" i="5"/>
  <c r="N29" i="5"/>
  <c r="N45" i="5"/>
  <c r="CK41" i="5"/>
  <c r="ES41" i="5" s="1"/>
  <c r="EY41" i="5" s="1"/>
  <c r="AC25" i="5"/>
  <c r="AF25" i="5" s="1"/>
  <c r="AI13" i="5"/>
  <c r="AO13" i="5"/>
  <c r="AI31" i="5"/>
  <c r="AI12" i="5"/>
  <c r="AL45" i="5"/>
  <c r="AI50" i="5"/>
  <c r="AI39" i="5"/>
  <c r="AI28" i="5"/>
  <c r="AF44" i="5"/>
  <c r="AC29" i="5"/>
  <c r="AF29" i="5" s="1"/>
  <c r="DR30" i="5"/>
  <c r="ED29" i="5"/>
  <c r="FB29" i="5" s="1"/>
  <c r="AI34" i="5"/>
  <c r="AI29" i="5"/>
  <c r="AI26" i="5"/>
  <c r="AL19" i="5"/>
  <c r="ES28" i="5"/>
  <c r="AI17" i="5"/>
  <c r="AI33" i="5"/>
  <c r="AI30" i="5"/>
  <c r="AI25" i="5"/>
  <c r="AI35" i="5"/>
  <c r="AR41" i="5"/>
  <c r="EJ41" i="5" s="1"/>
  <c r="AC30" i="5"/>
  <c r="AF30" i="5" s="1"/>
  <c r="AC35" i="5"/>
  <c r="AF35" i="5" s="1"/>
  <c r="ED28" i="5"/>
  <c r="CK38" i="5"/>
  <c r="ES38" i="5" s="1"/>
  <c r="EY38" i="5" s="1"/>
  <c r="AL17" i="5"/>
  <c r="AO30" i="5"/>
  <c r="AO45" i="5"/>
  <c r="ED34" i="5"/>
  <c r="FB34" i="5" s="1"/>
  <c r="FH34" i="5" s="1"/>
  <c r="ES13" i="5"/>
  <c r="AL35" i="5"/>
  <c r="AL43" i="5"/>
  <c r="AL34" i="5"/>
  <c r="AL29" i="5"/>
  <c r="AL12" i="5"/>
  <c r="AL50" i="5"/>
  <c r="AL28" i="5"/>
  <c r="AL36" i="5"/>
  <c r="ED35" i="5"/>
  <c r="FB35" i="5" s="1"/>
  <c r="AO31" i="5"/>
  <c r="AL30" i="5"/>
  <c r="AL25" i="5"/>
  <c r="AI43" i="5"/>
  <c r="AF41" i="5"/>
  <c r="AL38" i="5"/>
  <c r="AL15" i="5"/>
  <c r="AL33" i="5"/>
  <c r="AR34" i="5"/>
  <c r="EJ34" i="5" s="1"/>
  <c r="AI49" i="5"/>
  <c r="AF34" i="5"/>
  <c r="AL13" i="5"/>
  <c r="EC13" i="5"/>
  <c r="FA13" i="5" s="1"/>
  <c r="AO20" i="5"/>
  <c r="AR17" i="5"/>
  <c r="AI42" i="5"/>
  <c r="AF49" i="5"/>
  <c r="AF26" i="5"/>
  <c r="AL31" i="5"/>
  <c r="AO48" i="5"/>
  <c r="ED27" i="5"/>
  <c r="FB27" i="5" s="1"/>
  <c r="ED13" i="5"/>
  <c r="EG13" i="5" s="1"/>
  <c r="EB13" i="5"/>
  <c r="EZ13" i="5" s="1"/>
  <c r="DA13" i="5"/>
  <c r="AL41" i="5"/>
  <c r="AR43" i="5"/>
  <c r="EJ43" i="5" s="1"/>
  <c r="AF39" i="5"/>
  <c r="AF17" i="5"/>
  <c r="AL26" i="5"/>
  <c r="AL49" i="5"/>
  <c r="AQ13" i="5"/>
  <c r="EI13" i="5" s="1"/>
  <c r="AO40" i="5"/>
  <c r="AO27" i="5"/>
  <c r="AI41" i="5"/>
  <c r="AI32" i="5"/>
  <c r="AI27" i="5"/>
  <c r="AL42" i="5"/>
  <c r="AL40" i="5"/>
  <c r="AL32" i="5"/>
  <c r="AL27" i="5"/>
  <c r="ED32" i="5"/>
  <c r="FB32" i="5" s="1"/>
  <c r="AF43" i="5"/>
  <c r="AR49" i="5"/>
  <c r="ED49" i="5"/>
  <c r="FB49" i="5" s="1"/>
  <c r="FH49" i="5" s="1"/>
  <c r="AC42" i="5"/>
  <c r="AC40" i="5"/>
  <c r="AF40" i="5" s="1"/>
  <c r="AC32" i="5"/>
  <c r="AC27" i="5"/>
  <c r="AF27" i="5" s="1"/>
  <c r="AO33" i="5"/>
  <c r="AO35" i="5"/>
  <c r="AC38" i="5"/>
  <c r="AF38" i="5" s="1"/>
  <c r="AC33" i="5"/>
  <c r="AF33" i="5" s="1"/>
  <c r="AC28" i="5"/>
  <c r="AF28" i="5" s="1"/>
  <c r="AL16" i="5"/>
  <c r="AO47" i="5"/>
  <c r="AL44" i="5"/>
  <c r="AR26" i="5"/>
  <c r="AC50" i="5"/>
  <c r="AF50" i="5" s="1"/>
  <c r="AC18" i="5"/>
  <c r="AC31" i="5"/>
  <c r="ED18" i="5"/>
  <c r="FB18" i="5" s="1"/>
  <c r="ED20" i="5"/>
  <c r="FB20" i="5" s="1"/>
  <c r="AI44" i="5"/>
  <c r="ED31" i="5"/>
  <c r="FB31" i="5" s="1"/>
  <c r="AF19" i="5"/>
  <c r="AU19" i="5"/>
  <c r="AR16" i="5"/>
  <c r="AF16" i="5"/>
  <c r="AO16" i="5"/>
  <c r="P13" i="5"/>
  <c r="DC13" i="5"/>
  <c r="BY13" i="5"/>
  <c r="AP13" i="5"/>
  <c r="EH13" i="5" s="1"/>
  <c r="O13" i="5"/>
  <c r="DB13" i="5"/>
  <c r="AR12" i="5" l="1"/>
  <c r="AU12" i="5" s="1"/>
  <c r="AR13" i="5"/>
  <c r="EJ13" i="5" s="1"/>
  <c r="FB28" i="5"/>
  <c r="EY28" i="5"/>
  <c r="AR18" i="5"/>
  <c r="AU26" i="5"/>
  <c r="EE13" i="5"/>
  <c r="EF13" i="5"/>
  <c r="EJ15" i="5"/>
  <c r="AU15" i="5"/>
  <c r="FB13" i="5"/>
  <c r="AR50" i="5"/>
  <c r="AU50" i="5" s="1"/>
  <c r="FB42" i="5"/>
  <c r="AR35" i="5"/>
  <c r="AU35" i="5" s="1"/>
  <c r="AF42" i="5"/>
  <c r="AR20" i="5"/>
  <c r="AU20" i="5" s="1"/>
  <c r="AR25" i="5"/>
  <c r="AU25" i="5" s="1"/>
  <c r="AR29" i="5"/>
  <c r="EJ29" i="5" s="1"/>
  <c r="AR30" i="5"/>
  <c r="EJ30" i="5" s="1"/>
  <c r="AU41" i="5"/>
  <c r="AU36" i="5"/>
  <c r="AT13" i="5"/>
  <c r="AU48" i="5"/>
  <c r="AU17" i="5"/>
  <c r="AU43" i="5"/>
  <c r="AR45" i="5"/>
  <c r="EJ45" i="5" s="1"/>
  <c r="EP45" i="5" s="1"/>
  <c r="AR40" i="5"/>
  <c r="AU40" i="5" s="1"/>
  <c r="EJ26" i="5"/>
  <c r="EJ17" i="5"/>
  <c r="AU34" i="5"/>
  <c r="AR42" i="5"/>
  <c r="AR38" i="5"/>
  <c r="AU38" i="5" s="1"/>
  <c r="AU46" i="5"/>
  <c r="AU24" i="5"/>
  <c r="AU23" i="5"/>
  <c r="AR32" i="5"/>
  <c r="AF32" i="5"/>
  <c r="EJ39" i="5"/>
  <c r="AU39" i="5"/>
  <c r="AF18" i="5"/>
  <c r="EJ49" i="5"/>
  <c r="AU49" i="5"/>
  <c r="AF31" i="5"/>
  <c r="AR31" i="5"/>
  <c r="AR33" i="5"/>
  <c r="AU33" i="5" s="1"/>
  <c r="AR28" i="5"/>
  <c r="AR47" i="5"/>
  <c r="AU14" i="5"/>
  <c r="AF13" i="5"/>
  <c r="AR27" i="5"/>
  <c r="AU44" i="5"/>
  <c r="EJ16" i="5"/>
  <c r="AU16" i="5"/>
  <c r="AS13" i="5"/>
  <c r="ER13" i="5"/>
  <c r="CM13" i="5"/>
  <c r="BJ13" i="5"/>
  <c r="CL13" i="5"/>
  <c r="EQ13" i="5"/>
  <c r="AU13" i="5" l="1"/>
  <c r="EJ12" i="5"/>
  <c r="EP12" i="5" s="1"/>
  <c r="FH28" i="5"/>
  <c r="AU30" i="5"/>
  <c r="AU29" i="5"/>
  <c r="EJ50" i="5"/>
  <c r="EJ20" i="5"/>
  <c r="EJ35" i="5"/>
  <c r="EJ25" i="5"/>
  <c r="EJ38" i="5"/>
  <c r="EJ40" i="5"/>
  <c r="EJ42" i="5"/>
  <c r="AU42" i="5"/>
  <c r="EJ33" i="5"/>
  <c r="EJ28" i="5"/>
  <c r="EP28" i="5" s="1"/>
  <c r="AU28" i="5"/>
  <c r="EJ31" i="5"/>
  <c r="AU31" i="5"/>
  <c r="EJ18" i="5"/>
  <c r="AU18" i="5"/>
  <c r="EJ27" i="5"/>
  <c r="AU27" i="5"/>
  <c r="EJ32" i="5"/>
  <c r="AU32" i="5"/>
  <c r="EJ47" i="5"/>
  <c r="AU47" i="5"/>
  <c r="CN13" i="5"/>
  <c r="T45" i="5" l="1"/>
  <c r="T51" i="5" s="1"/>
  <c r="AI45" i="5" l="1"/>
  <c r="AU45" i="5" s="1"/>
  <c r="AF45" i="5"/>
  <c r="EV37" i="5"/>
  <c r="EV51" i="5" s="1"/>
  <c r="EM37" i="5"/>
  <c r="DF37" i="5"/>
  <c r="DF51" i="5" s="1"/>
  <c r="DI37" i="5"/>
  <c r="DI51" i="5" s="1"/>
  <c r="BM37" i="5"/>
  <c r="BM51" i="5" s="1"/>
  <c r="EZ1" i="5"/>
  <c r="EQ1" i="5"/>
  <c r="EH1" i="5"/>
  <c r="EM25" i="5" l="1"/>
  <c r="DW42" i="5"/>
  <c r="DV42" i="5"/>
  <c r="DW43" i="5"/>
  <c r="DV43" i="5"/>
  <c r="DW50" i="5"/>
  <c r="DV50" i="5"/>
  <c r="DW41" i="5"/>
  <c r="DV41" i="5"/>
  <c r="DZ40" i="5"/>
  <c r="DY40" i="5"/>
  <c r="DW40" i="5"/>
  <c r="DV40" i="5"/>
  <c r="DW49" i="5"/>
  <c r="DV49" i="5"/>
  <c r="DW48" i="5"/>
  <c r="DV48" i="5"/>
  <c r="DW39" i="5"/>
  <c r="DV39" i="5"/>
  <c r="DW38" i="5"/>
  <c r="DV38" i="5"/>
  <c r="DZ36" i="5"/>
  <c r="DW36" i="5"/>
  <c r="DV36" i="5"/>
  <c r="DZ47" i="5"/>
  <c r="DW47" i="5"/>
  <c r="DV47" i="5"/>
  <c r="DZ33" i="5"/>
  <c r="DW33" i="5"/>
  <c r="DV33" i="5"/>
  <c r="DW32" i="5"/>
  <c r="DV32" i="5"/>
  <c r="DZ46" i="5"/>
  <c r="DW46" i="5"/>
  <c r="DV46" i="5"/>
  <c r="DZ29" i="5"/>
  <c r="DW29" i="5"/>
  <c r="DV29" i="5"/>
  <c r="DZ28" i="5"/>
  <c r="DY28" i="5"/>
  <c r="DW28" i="5"/>
  <c r="DV28" i="5"/>
  <c r="DZ27" i="5"/>
  <c r="DY27" i="5"/>
  <c r="DW27" i="5"/>
  <c r="DV27" i="5"/>
  <c r="DW26" i="5"/>
  <c r="DV26" i="5"/>
  <c r="DZ24" i="5"/>
  <c r="DY24" i="5"/>
  <c r="DW24" i="5"/>
  <c r="DV24" i="5"/>
  <c r="DZ18" i="5"/>
  <c r="DY18" i="5"/>
  <c r="DW18" i="5"/>
  <c r="DV18" i="5"/>
  <c r="DZ20" i="5"/>
  <c r="DY20" i="5"/>
  <c r="DW20" i="5"/>
  <c r="DV20" i="5"/>
  <c r="DZ35" i="5"/>
  <c r="DY35" i="5"/>
  <c r="DW35" i="5"/>
  <c r="DV35" i="5"/>
  <c r="DZ31" i="5"/>
  <c r="DY31" i="5"/>
  <c r="DW31" i="5"/>
  <c r="DV31" i="5"/>
  <c r="DZ23" i="5"/>
  <c r="DY23" i="5"/>
  <c r="DW23" i="5"/>
  <c r="DV23" i="5"/>
  <c r="DW16" i="5"/>
  <c r="DV16" i="5"/>
  <c r="DW15" i="5"/>
  <c r="DV15" i="5"/>
  <c r="DZ14" i="5"/>
  <c r="DY14" i="5"/>
  <c r="DW14" i="5"/>
  <c r="DV14" i="5"/>
  <c r="DW12" i="5"/>
  <c r="DV12" i="5"/>
  <c r="DZ37" i="5"/>
  <c r="DY37" i="5"/>
  <c r="DW37" i="5"/>
  <c r="DV37" i="5"/>
  <c r="DT37" i="5"/>
  <c r="CD42" i="5"/>
  <c r="CC42" i="5"/>
  <c r="CD43" i="5"/>
  <c r="CC43" i="5"/>
  <c r="CD50" i="5"/>
  <c r="CC50" i="5"/>
  <c r="CD41" i="5"/>
  <c r="CC41" i="5"/>
  <c r="CG40" i="5"/>
  <c r="CF40" i="5"/>
  <c r="CD40" i="5"/>
  <c r="CC40" i="5"/>
  <c r="CD49" i="5"/>
  <c r="CC49" i="5"/>
  <c r="CG48" i="5"/>
  <c r="CF48" i="5"/>
  <c r="CD48" i="5"/>
  <c r="CC48" i="5"/>
  <c r="CD39" i="5"/>
  <c r="CC39" i="5"/>
  <c r="CD38" i="5"/>
  <c r="CC38" i="5"/>
  <c r="CG36" i="5"/>
  <c r="CF36" i="5"/>
  <c r="CD36" i="5"/>
  <c r="CC36" i="5"/>
  <c r="CG47" i="5"/>
  <c r="CF47" i="5"/>
  <c r="CD47" i="5"/>
  <c r="CC47" i="5"/>
  <c r="CD34" i="5"/>
  <c r="CC34" i="5"/>
  <c r="CD33" i="5"/>
  <c r="CC33" i="5"/>
  <c r="CD32" i="5"/>
  <c r="CC32" i="5"/>
  <c r="CG46" i="5"/>
  <c r="CF46" i="5"/>
  <c r="CD46" i="5"/>
  <c r="CC46" i="5"/>
  <c r="CG29" i="5"/>
  <c r="CF29" i="5"/>
  <c r="CD29" i="5"/>
  <c r="CC29" i="5"/>
  <c r="CG30" i="5"/>
  <c r="CF30" i="5"/>
  <c r="CD30" i="5"/>
  <c r="CC30" i="5"/>
  <c r="CG28" i="5"/>
  <c r="CF28" i="5"/>
  <c r="CD28" i="5"/>
  <c r="CC28" i="5"/>
  <c r="CG27" i="5"/>
  <c r="CF27" i="5"/>
  <c r="CD27" i="5"/>
  <c r="CC27" i="5"/>
  <c r="CD26" i="5"/>
  <c r="CC26" i="5"/>
  <c r="CG24" i="5"/>
  <c r="CF24" i="5"/>
  <c r="CD24" i="5"/>
  <c r="CC24" i="5"/>
  <c r="CG20" i="5"/>
  <c r="CF20" i="5"/>
  <c r="CD20" i="5"/>
  <c r="CC20" i="5"/>
  <c r="CG35" i="5"/>
  <c r="CF35" i="5"/>
  <c r="CD35" i="5"/>
  <c r="CC35" i="5"/>
  <c r="CA35" i="5"/>
  <c r="BZ35" i="5"/>
  <c r="CG31" i="5"/>
  <c r="CF31" i="5"/>
  <c r="CD31" i="5"/>
  <c r="CC31" i="5"/>
  <c r="CA31" i="5"/>
  <c r="BZ31" i="5"/>
  <c r="CG23" i="5"/>
  <c r="CF23" i="5"/>
  <c r="CD23" i="5"/>
  <c r="CC23" i="5"/>
  <c r="CA23" i="5"/>
  <c r="BZ23" i="5"/>
  <c r="CD16" i="5"/>
  <c r="CC16" i="5"/>
  <c r="CA16" i="5"/>
  <c r="BZ16" i="5"/>
  <c r="CD15" i="5"/>
  <c r="CC15" i="5"/>
  <c r="CA15" i="5"/>
  <c r="BZ15" i="5"/>
  <c r="CG14" i="5"/>
  <c r="CF14" i="5"/>
  <c r="CD14" i="5"/>
  <c r="CC14" i="5"/>
  <c r="CA14" i="5"/>
  <c r="BZ14" i="5"/>
  <c r="CD12" i="5"/>
  <c r="CC12" i="5"/>
  <c r="CA12" i="5"/>
  <c r="BZ12" i="5"/>
  <c r="CD45" i="5"/>
  <c r="CC45" i="5"/>
  <c r="CA45" i="5"/>
  <c r="BZ45" i="5"/>
  <c r="CG37" i="5"/>
  <c r="CF37" i="5"/>
  <c r="CD37" i="5"/>
  <c r="CC37" i="5"/>
  <c r="CA37" i="5"/>
  <c r="BZ37" i="5"/>
  <c r="CX14" i="5"/>
  <c r="DB14" i="5"/>
  <c r="CX15" i="5"/>
  <c r="DB15" i="5"/>
  <c r="CX16" i="5"/>
  <c r="DA16" i="5" s="1"/>
  <c r="DB16" i="5"/>
  <c r="CX23" i="5"/>
  <c r="DA23" i="5" s="1"/>
  <c r="DB23" i="5"/>
  <c r="CX31" i="5"/>
  <c r="DA31" i="5" s="1"/>
  <c r="CX35" i="5"/>
  <c r="DA35" i="5" s="1"/>
  <c r="DB35" i="5"/>
  <c r="CX20" i="5"/>
  <c r="DB20" i="5"/>
  <c r="CX18" i="5"/>
  <c r="DB18" i="5"/>
  <c r="CX24" i="5"/>
  <c r="DA24" i="5" s="1"/>
  <c r="DB24" i="5"/>
  <c r="CX26" i="5"/>
  <c r="DB26" i="5"/>
  <c r="CX27" i="5"/>
  <c r="DA27" i="5" s="1"/>
  <c r="DB27" i="5"/>
  <c r="CX28" i="5"/>
  <c r="DA30" i="5"/>
  <c r="DB30" i="5"/>
  <c r="CX29" i="5"/>
  <c r="DA29" i="5" s="1"/>
  <c r="DB29" i="5"/>
  <c r="CX46" i="5"/>
  <c r="DA46" i="5" s="1"/>
  <c r="DB46" i="5"/>
  <c r="CX32" i="5"/>
  <c r="DB32" i="5"/>
  <c r="CX33" i="5"/>
  <c r="DB33" i="5"/>
  <c r="DA34" i="5"/>
  <c r="DB34" i="5"/>
  <c r="CX47" i="5"/>
  <c r="CX36" i="5"/>
  <c r="DA36" i="5" s="1"/>
  <c r="DB36" i="5"/>
  <c r="CX38" i="5"/>
  <c r="DA38" i="5" s="1"/>
  <c r="DB38" i="5"/>
  <c r="CX39" i="5"/>
  <c r="DA39" i="5" s="1"/>
  <c r="DB39" i="5"/>
  <c r="CX48" i="5"/>
  <c r="DB48" i="5"/>
  <c r="CX49" i="5"/>
  <c r="CX40" i="5"/>
  <c r="DA40" i="5" s="1"/>
  <c r="DB40" i="5"/>
  <c r="CX41" i="5"/>
  <c r="CX50" i="5"/>
  <c r="DA50" i="5" s="1"/>
  <c r="CX43" i="5"/>
  <c r="DA43" i="5" s="1"/>
  <c r="CX42" i="5"/>
  <c r="CX37" i="5"/>
  <c r="CW37" i="5"/>
  <c r="CW51" i="5" s="1"/>
  <c r="CT37" i="5"/>
  <c r="CT51" i="5" s="1"/>
  <c r="CQ37" i="5"/>
  <c r="CQ51" i="5" s="1"/>
  <c r="DM12" i="5"/>
  <c r="DN12" i="5"/>
  <c r="DQ12" i="5" s="1"/>
  <c r="DM16" i="5"/>
  <c r="DP16" i="5" s="1"/>
  <c r="DN16" i="5"/>
  <c r="DQ16" i="5" s="1"/>
  <c r="DM31" i="5"/>
  <c r="DP31" i="5" s="1"/>
  <c r="DN31" i="5"/>
  <c r="DQ31" i="5" s="1"/>
  <c r="DM35" i="5"/>
  <c r="DP35" i="5" s="1"/>
  <c r="DN35" i="5"/>
  <c r="DQ35" i="5" s="1"/>
  <c r="DM18" i="5"/>
  <c r="DP18" i="5" s="1"/>
  <c r="DN18" i="5"/>
  <c r="DQ18" i="5" s="1"/>
  <c r="DM26" i="5"/>
  <c r="DN26" i="5"/>
  <c r="DQ26" i="5" s="1"/>
  <c r="DM27" i="5"/>
  <c r="DP27" i="5" s="1"/>
  <c r="DN27" i="5"/>
  <c r="DQ27" i="5" s="1"/>
  <c r="DM30" i="5"/>
  <c r="DN30" i="5"/>
  <c r="DM29" i="5"/>
  <c r="DP29" i="5" s="1"/>
  <c r="DN29" i="5"/>
  <c r="DQ29" i="5" s="1"/>
  <c r="DM32" i="5"/>
  <c r="DP32" i="5" s="1"/>
  <c r="DN32" i="5"/>
  <c r="DQ32" i="5" s="1"/>
  <c r="DM33" i="5"/>
  <c r="DP33" i="5" s="1"/>
  <c r="DN33" i="5"/>
  <c r="DQ33" i="5" s="1"/>
  <c r="DM38" i="5"/>
  <c r="DP38" i="5" s="1"/>
  <c r="DN38" i="5"/>
  <c r="DQ38" i="5" s="1"/>
  <c r="DM39" i="5"/>
  <c r="DP39" i="5" s="1"/>
  <c r="DN39" i="5"/>
  <c r="DQ39" i="5" s="1"/>
  <c r="DM40" i="5"/>
  <c r="DP40" i="5" s="1"/>
  <c r="DN40" i="5"/>
  <c r="DQ40" i="5" s="1"/>
  <c r="DM41" i="5"/>
  <c r="DP41" i="5" s="1"/>
  <c r="DN41" i="5"/>
  <c r="DQ41" i="5" s="1"/>
  <c r="DM43" i="5"/>
  <c r="DP43" i="5" s="1"/>
  <c r="DN43" i="5"/>
  <c r="DQ43" i="5" s="1"/>
  <c r="DM42" i="5"/>
  <c r="DN42" i="5"/>
  <c r="DN37" i="5"/>
  <c r="DO37" i="5"/>
  <c r="DM37" i="5"/>
  <c r="BT12" i="5"/>
  <c r="BU12" i="5"/>
  <c r="BY12" i="5"/>
  <c r="BW16" i="5"/>
  <c r="BU16" i="5"/>
  <c r="BX16" i="5" s="1"/>
  <c r="BY16" i="5"/>
  <c r="BW31" i="5"/>
  <c r="BU31" i="5"/>
  <c r="BY31" i="5"/>
  <c r="BT35" i="5"/>
  <c r="BW35" i="5" s="1"/>
  <c r="BU35" i="5"/>
  <c r="BX35" i="5" s="1"/>
  <c r="BY35" i="5"/>
  <c r="BT18" i="5"/>
  <c r="BW18" i="5" s="1"/>
  <c r="BU18" i="5"/>
  <c r="BX18" i="5" s="1"/>
  <c r="BY18" i="5"/>
  <c r="BT26" i="5"/>
  <c r="BW26" i="5" s="1"/>
  <c r="BU26" i="5"/>
  <c r="BX26" i="5" s="1"/>
  <c r="BY26" i="5"/>
  <c r="BW27" i="5"/>
  <c r="BX27" i="5"/>
  <c r="BY27" i="5"/>
  <c r="BW30" i="5"/>
  <c r="BX30" i="5"/>
  <c r="BY30" i="5"/>
  <c r="BW29" i="5"/>
  <c r="BX29" i="5"/>
  <c r="BY29" i="5"/>
  <c r="BT32" i="5"/>
  <c r="BW32" i="5" s="1"/>
  <c r="BU32" i="5"/>
  <c r="BX32" i="5" s="1"/>
  <c r="BY32" i="5"/>
  <c r="BW34" i="5"/>
  <c r="BX34" i="5"/>
  <c r="BY34" i="5"/>
  <c r="BW38" i="5"/>
  <c r="BU38" i="5"/>
  <c r="BX38" i="5" s="1"/>
  <c r="BY38" i="5"/>
  <c r="BT39" i="5"/>
  <c r="BW39" i="5" s="1"/>
  <c r="BU39" i="5"/>
  <c r="BX39" i="5" s="1"/>
  <c r="BY39" i="5"/>
  <c r="BW49" i="5"/>
  <c r="BU49" i="5"/>
  <c r="BX49" i="5" s="1"/>
  <c r="BY49" i="5"/>
  <c r="BT40" i="5"/>
  <c r="BW40" i="5" s="1"/>
  <c r="BU40" i="5"/>
  <c r="BX40" i="5" s="1"/>
  <c r="BY40" i="5"/>
  <c r="BT41" i="5"/>
  <c r="BW41" i="5" s="1"/>
  <c r="BU41" i="5"/>
  <c r="BX41" i="5" s="1"/>
  <c r="BY41" i="5"/>
  <c r="BT43" i="5"/>
  <c r="BW43" i="5" s="1"/>
  <c r="BU43" i="5"/>
  <c r="BX43" i="5" s="1"/>
  <c r="BY43" i="5"/>
  <c r="BT42" i="5"/>
  <c r="BU42" i="5"/>
  <c r="BY42" i="5"/>
  <c r="BU37" i="5"/>
  <c r="BV37" i="5"/>
  <c r="BT37" i="5"/>
  <c r="CI45" i="5"/>
  <c r="BF45" i="5"/>
  <c r="BE12" i="5"/>
  <c r="BF12" i="5"/>
  <c r="BE14" i="5"/>
  <c r="CI14" i="5" s="1"/>
  <c r="BF14" i="5"/>
  <c r="BE15" i="5"/>
  <c r="CI15" i="5" s="1"/>
  <c r="BF15" i="5"/>
  <c r="CJ15" i="5" s="1"/>
  <c r="BE16" i="5"/>
  <c r="BF16" i="5"/>
  <c r="BE23" i="5"/>
  <c r="BF23" i="5"/>
  <c r="BI23" i="5" s="1"/>
  <c r="BE31" i="5"/>
  <c r="BF31" i="5"/>
  <c r="BE35" i="5"/>
  <c r="BF35" i="5"/>
  <c r="BE20" i="5"/>
  <c r="CI20" i="5" s="1"/>
  <c r="BF20" i="5"/>
  <c r="BE18" i="5"/>
  <c r="BF18" i="5"/>
  <c r="BE24" i="5"/>
  <c r="BF24" i="5"/>
  <c r="BE26" i="5"/>
  <c r="BF26" i="5"/>
  <c r="BE27" i="5"/>
  <c r="BF27" i="5"/>
  <c r="BE28" i="5"/>
  <c r="BF28" i="5"/>
  <c r="BE30" i="5"/>
  <c r="BF30" i="5"/>
  <c r="BE29" i="5"/>
  <c r="CI29" i="5" s="1"/>
  <c r="BF29" i="5"/>
  <c r="BE46" i="5"/>
  <c r="BH46" i="5" s="1"/>
  <c r="BF46" i="5"/>
  <c r="BE32" i="5"/>
  <c r="BF32" i="5"/>
  <c r="BE33" i="5"/>
  <c r="BF33" i="5"/>
  <c r="CJ33" i="5" s="1"/>
  <c r="BE34" i="5"/>
  <c r="BF34" i="5"/>
  <c r="BE47" i="5"/>
  <c r="BF47" i="5"/>
  <c r="CJ47" i="5" s="1"/>
  <c r="BE36" i="5"/>
  <c r="BF36" i="5"/>
  <c r="BE38" i="5"/>
  <c r="BH38" i="5" s="1"/>
  <c r="BF38" i="5"/>
  <c r="BI38" i="5" s="1"/>
  <c r="BE39" i="5"/>
  <c r="BF39" i="5"/>
  <c r="BE48" i="5"/>
  <c r="CI48" i="5" s="1"/>
  <c r="BF48" i="5"/>
  <c r="CJ48" i="5" s="1"/>
  <c r="BE49" i="5"/>
  <c r="CI49" i="5" s="1"/>
  <c r="BF49" i="5"/>
  <c r="BE40" i="5"/>
  <c r="BF40" i="5"/>
  <c r="BE41" i="5"/>
  <c r="BF41" i="5"/>
  <c r="BE50" i="5"/>
  <c r="BF50" i="5"/>
  <c r="BE43" i="5"/>
  <c r="BF43" i="5"/>
  <c r="BE42" i="5"/>
  <c r="BF42" i="5"/>
  <c r="BH37" i="5"/>
  <c r="R1" i="5"/>
  <c r="AG1" i="5" s="1"/>
  <c r="AV1" i="5" s="1"/>
  <c r="DY51" i="5" l="1"/>
  <c r="CF51" i="5"/>
  <c r="DO51" i="5"/>
  <c r="DR51" i="5" s="1"/>
  <c r="BZ51" i="5"/>
  <c r="DZ51" i="5"/>
  <c r="DT51" i="5"/>
  <c r="BE51" i="5"/>
  <c r="BH51" i="5" s="1"/>
  <c r="BF51" i="5"/>
  <c r="BI51" i="5" s="1"/>
  <c r="BT51" i="5"/>
  <c r="BW51" i="5" s="1"/>
  <c r="BV51" i="5"/>
  <c r="BY51" i="5" s="1"/>
  <c r="BX12" i="5"/>
  <c r="BU51" i="5"/>
  <c r="BX51" i="5" s="1"/>
  <c r="DA14" i="5"/>
  <c r="CX51" i="5"/>
  <c r="DA51" i="5" s="1"/>
  <c r="CA51" i="5"/>
  <c r="CG51" i="5"/>
  <c r="EM51" i="5"/>
  <c r="DW51" i="5"/>
  <c r="DN51" i="5"/>
  <c r="DQ51" i="5" s="1"/>
  <c r="DP26" i="5"/>
  <c r="DM51" i="5"/>
  <c r="DP51" i="5" s="1"/>
  <c r="DV51" i="5"/>
  <c r="CD51" i="5"/>
  <c r="CC51" i="5"/>
  <c r="CJ18" i="5"/>
  <c r="CJ49" i="5"/>
  <c r="ER49" i="5" s="1"/>
  <c r="EX49" i="5" s="1"/>
  <c r="DQ30" i="5"/>
  <c r="EC30" i="5"/>
  <c r="CI18" i="5"/>
  <c r="EQ18" i="5" s="1"/>
  <c r="EW18" i="5" s="1"/>
  <c r="DP30" i="5"/>
  <c r="EB30" i="5"/>
  <c r="CJ31" i="5"/>
  <c r="CJ39" i="5"/>
  <c r="DP37" i="5"/>
  <c r="DU37" i="5"/>
  <c r="DA37" i="5"/>
  <c r="EA37" i="5"/>
  <c r="EA51" i="5" s="1"/>
  <c r="BW37" i="5"/>
  <c r="CJ43" i="5"/>
  <c r="CJ12" i="5"/>
  <c r="CI41" i="5"/>
  <c r="EQ41" i="5" s="1"/>
  <c r="EW41" i="5" s="1"/>
  <c r="CJ32" i="5"/>
  <c r="CM32" i="5" s="1"/>
  <c r="BH50" i="5"/>
  <c r="CI50" i="5"/>
  <c r="BH47" i="5"/>
  <c r="CI47" i="5"/>
  <c r="BH27" i="5"/>
  <c r="CI27" i="5"/>
  <c r="BH35" i="5"/>
  <c r="CI35" i="5"/>
  <c r="BH23" i="5"/>
  <c r="CI23" i="5"/>
  <c r="BH12" i="5"/>
  <c r="CI12" i="5"/>
  <c r="BW42" i="5"/>
  <c r="DQ42" i="5"/>
  <c r="DA42" i="5"/>
  <c r="BI42" i="5"/>
  <c r="CJ42" i="5"/>
  <c r="BI40" i="5"/>
  <c r="CJ40" i="5"/>
  <c r="BI35" i="5"/>
  <c r="CJ35" i="5"/>
  <c r="ER35" i="5" s="1"/>
  <c r="EX35" i="5" s="1"/>
  <c r="BI36" i="5"/>
  <c r="CJ36" i="5"/>
  <c r="BI34" i="5"/>
  <c r="CJ34" i="5"/>
  <c r="BI29" i="5"/>
  <c r="CJ29" i="5"/>
  <c r="BI28" i="5"/>
  <c r="CJ28" i="5"/>
  <c r="BI26" i="5"/>
  <c r="CJ26" i="5"/>
  <c r="BI24" i="5"/>
  <c r="CJ24" i="5"/>
  <c r="BI20" i="5"/>
  <c r="CJ20" i="5"/>
  <c r="BI16" i="5"/>
  <c r="CJ16" i="5"/>
  <c r="BI14" i="5"/>
  <c r="CJ14" i="5"/>
  <c r="BI45" i="5"/>
  <c r="CJ45" i="5"/>
  <c r="DP42" i="5"/>
  <c r="CJ41" i="5"/>
  <c r="BH42" i="5"/>
  <c r="CI42" i="5"/>
  <c r="BH40" i="5"/>
  <c r="CI40" i="5"/>
  <c r="BH33" i="5"/>
  <c r="CI33" i="5"/>
  <c r="EQ33" i="5" s="1"/>
  <c r="EW33" i="5" s="1"/>
  <c r="BH30" i="5"/>
  <c r="CI30" i="5"/>
  <c r="BI50" i="5"/>
  <c r="CJ50" i="5"/>
  <c r="BI30" i="5"/>
  <c r="CJ30" i="5"/>
  <c r="CM30" i="5" s="1"/>
  <c r="BI27" i="5"/>
  <c r="CJ27" i="5"/>
  <c r="BI18" i="5"/>
  <c r="BX42" i="5"/>
  <c r="DB42" i="5"/>
  <c r="BH43" i="5"/>
  <c r="CI43" i="5"/>
  <c r="BH39" i="5"/>
  <c r="CI39" i="5"/>
  <c r="BH36" i="5"/>
  <c r="CI36" i="5"/>
  <c r="BH34" i="5"/>
  <c r="CI34" i="5"/>
  <c r="BH28" i="5"/>
  <c r="CI28" i="5"/>
  <c r="BH26" i="5"/>
  <c r="CI26" i="5"/>
  <c r="BH24" i="5"/>
  <c r="CI24" i="5"/>
  <c r="BH31" i="5"/>
  <c r="CI31" i="5"/>
  <c r="BH16" i="5"/>
  <c r="CI16" i="5"/>
  <c r="CI32" i="5"/>
  <c r="EQ32" i="5" s="1"/>
  <c r="EW32" i="5" s="1"/>
  <c r="BX37" i="5"/>
  <c r="DR37" i="5"/>
  <c r="DB37" i="5"/>
  <c r="BY37" i="5"/>
  <c r="DP12" i="5"/>
  <c r="BW12" i="5"/>
  <c r="DA12" i="5"/>
  <c r="BI37" i="5"/>
  <c r="DQ37" i="5"/>
  <c r="BK1" i="5"/>
  <c r="BZ1" i="5" s="1"/>
  <c r="CL48" i="5"/>
  <c r="EQ20" i="5"/>
  <c r="EW20" i="5" s="1"/>
  <c r="CL15" i="5"/>
  <c r="DC41" i="5"/>
  <c r="DC24" i="5"/>
  <c r="CM15" i="5"/>
  <c r="DC50" i="5"/>
  <c r="DC28" i="5"/>
  <c r="ER33" i="5"/>
  <c r="EX33" i="5" s="1"/>
  <c r="EQ49" i="5"/>
  <c r="EW49" i="5" s="1"/>
  <c r="CM48" i="5"/>
  <c r="ER48" i="5"/>
  <c r="EX48" i="5" s="1"/>
  <c r="CI38" i="5"/>
  <c r="CL29" i="5"/>
  <c r="CJ46" i="5"/>
  <c r="EC43" i="5"/>
  <c r="DC49" i="5"/>
  <c r="EB15" i="5"/>
  <c r="EB28" i="5"/>
  <c r="EB20" i="5"/>
  <c r="EB47" i="5"/>
  <c r="EC28" i="5"/>
  <c r="EB41" i="5"/>
  <c r="EC47" i="5"/>
  <c r="EB32" i="5"/>
  <c r="EB18" i="5"/>
  <c r="EZ18" i="5" s="1"/>
  <c r="FF18" i="5" s="1"/>
  <c r="EC12" i="5"/>
  <c r="EC41" i="5"/>
  <c r="EB48" i="5"/>
  <c r="EB26" i="5"/>
  <c r="EC31" i="5"/>
  <c r="EB33" i="5"/>
  <c r="EZ33" i="5" s="1"/>
  <c r="FF33" i="5" s="1"/>
  <c r="DC18" i="5"/>
  <c r="EB49" i="5"/>
  <c r="EZ49" i="5" s="1"/>
  <c r="FF49" i="5" s="1"/>
  <c r="DC26" i="5"/>
  <c r="CZ37" i="5"/>
  <c r="CZ51" i="5" s="1"/>
  <c r="DC33" i="5"/>
  <c r="DC36" i="5"/>
  <c r="FH30" i="5"/>
  <c r="DC30" i="5"/>
  <c r="CI46" i="5"/>
  <c r="EC14" i="5"/>
  <c r="EC15" i="5"/>
  <c r="EC16" i="5"/>
  <c r="EC23" i="5"/>
  <c r="EC35" i="5"/>
  <c r="EC20" i="5"/>
  <c r="EC27" i="5"/>
  <c r="EC29" i="5"/>
  <c r="EC32" i="5"/>
  <c r="EC34" i="5"/>
  <c r="FA34" i="5" s="1"/>
  <c r="EC36" i="5"/>
  <c r="EC38" i="5"/>
  <c r="EC48" i="5"/>
  <c r="EC40" i="5"/>
  <c r="FA40" i="5" s="1"/>
  <c r="FG40" i="5" s="1"/>
  <c r="EC50" i="5"/>
  <c r="DB43" i="5"/>
  <c r="DA48" i="5"/>
  <c r="DA32" i="5"/>
  <c r="DA20" i="5"/>
  <c r="DB31" i="5"/>
  <c r="DB12" i="5"/>
  <c r="BI43" i="5"/>
  <c r="BH48" i="5"/>
  <c r="BH32" i="5"/>
  <c r="BH20" i="5"/>
  <c r="BI31" i="5"/>
  <c r="BH15" i="5"/>
  <c r="BI12" i="5"/>
  <c r="CJ37" i="5"/>
  <c r="CJ23" i="5"/>
  <c r="DX37" i="5"/>
  <c r="DX51" i="5" s="1"/>
  <c r="EB14" i="5"/>
  <c r="EB16" i="5"/>
  <c r="EB23" i="5"/>
  <c r="EB35" i="5"/>
  <c r="EB27" i="5"/>
  <c r="EB29" i="5"/>
  <c r="EB34" i="5"/>
  <c r="EZ34" i="5" s="1"/>
  <c r="EB36" i="5"/>
  <c r="EZ36" i="5" s="1"/>
  <c r="EB38" i="5"/>
  <c r="EB40" i="5"/>
  <c r="EB50" i="5"/>
  <c r="EC42" i="5"/>
  <c r="DA41" i="5"/>
  <c r="DA47" i="5"/>
  <c r="DA28" i="5"/>
  <c r="BH41" i="5"/>
  <c r="BI48" i="5"/>
  <c r="BI32" i="5"/>
  <c r="BI15" i="5"/>
  <c r="CI37" i="5"/>
  <c r="EB42" i="5"/>
  <c r="DB41" i="5"/>
  <c r="DB47" i="5"/>
  <c r="DB28" i="5"/>
  <c r="BI41" i="5"/>
  <c r="BI47" i="5"/>
  <c r="BH29" i="5"/>
  <c r="BH14" i="5"/>
  <c r="CJ38" i="5"/>
  <c r="DA49" i="5"/>
  <c r="DA33" i="5"/>
  <c r="DA26" i="5"/>
  <c r="DA18" i="5"/>
  <c r="BH49" i="5"/>
  <c r="BH18" i="5"/>
  <c r="EC37" i="5"/>
  <c r="EC18" i="5"/>
  <c r="EC24" i="5"/>
  <c r="EC26" i="5"/>
  <c r="EC46" i="5"/>
  <c r="EC33" i="5"/>
  <c r="EC39" i="5"/>
  <c r="EC49" i="5"/>
  <c r="BI49" i="5"/>
  <c r="BI33" i="5"/>
  <c r="BH45" i="5"/>
  <c r="EB37" i="5"/>
  <c r="EB12" i="5"/>
  <c r="EB31" i="5"/>
  <c r="EB24" i="5"/>
  <c r="EB46" i="5"/>
  <c r="EB39" i="5"/>
  <c r="EB43" i="5"/>
  <c r="BI39" i="5"/>
  <c r="BI46" i="5"/>
  <c r="CO1" i="5"/>
  <c r="DU51" i="5" l="1"/>
  <c r="EC51" i="5"/>
  <c r="EZ26" i="5"/>
  <c r="EB51" i="5"/>
  <c r="CJ51" i="5"/>
  <c r="CL28" i="5"/>
  <c r="CI51" i="5"/>
  <c r="DB51" i="5"/>
  <c r="DC51" i="5"/>
  <c r="ER32" i="5"/>
  <c r="EX32" i="5" s="1"/>
  <c r="ED37" i="5"/>
  <c r="ED51" i="5" s="1"/>
  <c r="EQ15" i="5"/>
  <c r="EW15" i="5" s="1"/>
  <c r="DD1" i="5"/>
  <c r="DS1" i="5" s="1"/>
  <c r="EF40" i="5"/>
  <c r="CL32" i="5"/>
  <c r="CM33" i="5"/>
  <c r="EQ48" i="5"/>
  <c r="EW48" i="5" s="1"/>
  <c r="DC39" i="5"/>
  <c r="ER15" i="5"/>
  <c r="EX15" i="5" s="1"/>
  <c r="DC23" i="5"/>
  <c r="CM49" i="5"/>
  <c r="EG24" i="5"/>
  <c r="CL20" i="5"/>
  <c r="DC46" i="5"/>
  <c r="DC47" i="5"/>
  <c r="EE26" i="5"/>
  <c r="CL41" i="5"/>
  <c r="EE33" i="5"/>
  <c r="EG30" i="5"/>
  <c r="CL49" i="5"/>
  <c r="EE18" i="5"/>
  <c r="EE49" i="5"/>
  <c r="CL18" i="5"/>
  <c r="CL33" i="5"/>
  <c r="CL16" i="5"/>
  <c r="EQ16" i="5"/>
  <c r="EW16" i="5" s="1"/>
  <c r="EE37" i="5"/>
  <c r="EZ37" i="5"/>
  <c r="EE24" i="5"/>
  <c r="EZ24" i="5"/>
  <c r="FF24" i="5" s="1"/>
  <c r="EF18" i="5"/>
  <c r="FA18" i="5"/>
  <c r="FG18" i="5" s="1"/>
  <c r="CM18" i="5"/>
  <c r="ER18" i="5"/>
  <c r="EX18" i="5" s="1"/>
  <c r="CM36" i="5"/>
  <c r="ER36" i="5"/>
  <c r="EX36" i="5" s="1"/>
  <c r="EE40" i="5"/>
  <c r="EZ40" i="5"/>
  <c r="FF40" i="5" s="1"/>
  <c r="EE29" i="5"/>
  <c r="EZ29" i="5"/>
  <c r="FF29" i="5" s="1"/>
  <c r="CM26" i="5"/>
  <c r="ER26" i="5"/>
  <c r="EX26" i="5" s="1"/>
  <c r="EF36" i="5"/>
  <c r="FA36" i="5"/>
  <c r="FG36" i="5" s="1"/>
  <c r="CM28" i="5"/>
  <c r="ER28" i="5"/>
  <c r="EG36" i="5"/>
  <c r="FH36" i="5"/>
  <c r="EF31" i="5"/>
  <c r="FA31" i="5"/>
  <c r="FG31" i="5" s="1"/>
  <c r="EE41" i="5"/>
  <c r="EZ41" i="5"/>
  <c r="FF41" i="5" s="1"/>
  <c r="CL45" i="5"/>
  <c r="EQ45" i="5"/>
  <c r="EW45" i="5" s="1"/>
  <c r="CM43" i="5"/>
  <c r="ER43" i="5"/>
  <c r="EX43" i="5" s="1"/>
  <c r="EE12" i="5"/>
  <c r="EZ12" i="5"/>
  <c r="FF12" i="5" s="1"/>
  <c r="EF24" i="5"/>
  <c r="FA24" i="5"/>
  <c r="FG24" i="5" s="1"/>
  <c r="CL30" i="5"/>
  <c r="EQ30" i="5"/>
  <c r="EW30" i="5" s="1"/>
  <c r="CM38" i="5"/>
  <c r="ER38" i="5"/>
  <c r="EX38" i="5" s="1"/>
  <c r="CL24" i="5"/>
  <c r="EQ24" i="5"/>
  <c r="EW24" i="5" s="1"/>
  <c r="EE14" i="5"/>
  <c r="EZ14" i="5"/>
  <c r="FF14" i="5" s="1"/>
  <c r="EQ28" i="5"/>
  <c r="CM37" i="5"/>
  <c r="ER37" i="5"/>
  <c r="EF38" i="5"/>
  <c r="FA38" i="5"/>
  <c r="FG38" i="5" s="1"/>
  <c r="EF14" i="5"/>
  <c r="FA14" i="5"/>
  <c r="FG14" i="5" s="1"/>
  <c r="CL12" i="5"/>
  <c r="EQ12" i="5"/>
  <c r="EW12" i="5" s="1"/>
  <c r="EF47" i="5"/>
  <c r="FA47" i="5"/>
  <c r="FG47" i="5" s="1"/>
  <c r="EE28" i="5"/>
  <c r="EZ28" i="5"/>
  <c r="CM31" i="5"/>
  <c r="ER31" i="5"/>
  <c r="EX31" i="5" s="1"/>
  <c r="EF26" i="5"/>
  <c r="FA26" i="5"/>
  <c r="FG26" i="5" s="1"/>
  <c r="CL34" i="5"/>
  <c r="EQ34" i="5"/>
  <c r="EW34" i="5" s="1"/>
  <c r="CL26" i="5"/>
  <c r="EQ26" i="5"/>
  <c r="EW26" i="5" s="1"/>
  <c r="EE50" i="5"/>
  <c r="EZ50" i="5"/>
  <c r="EE34" i="5"/>
  <c r="FF34" i="5"/>
  <c r="EF48" i="5"/>
  <c r="FA48" i="5"/>
  <c r="FG48" i="5" s="1"/>
  <c r="EF15" i="5"/>
  <c r="FA15" i="5"/>
  <c r="FG15" i="5" s="1"/>
  <c r="CL46" i="5"/>
  <c r="EQ46" i="5"/>
  <c r="EE32" i="5"/>
  <c r="EZ32" i="5"/>
  <c r="FF32" i="5" s="1"/>
  <c r="EF43" i="5"/>
  <c r="FA43" i="5"/>
  <c r="FG43" i="5" s="1"/>
  <c r="CM41" i="5"/>
  <c r="ER41" i="5"/>
  <c r="EX41" i="5" s="1"/>
  <c r="EE43" i="5"/>
  <c r="EZ43" i="5"/>
  <c r="FF43" i="5" s="1"/>
  <c r="EE46" i="5"/>
  <c r="EZ46" i="5"/>
  <c r="EF46" i="5"/>
  <c r="FA46" i="5"/>
  <c r="CM14" i="5"/>
  <c r="ER14" i="5"/>
  <c r="EX14" i="5" s="1"/>
  <c r="CL40" i="5"/>
  <c r="EQ40" i="5"/>
  <c r="EW40" i="5" s="1"/>
  <c r="CM23" i="5"/>
  <c r="ER23" i="5"/>
  <c r="EX23" i="5" s="1"/>
  <c r="EF27" i="5"/>
  <c r="FA27" i="5"/>
  <c r="FG27" i="5" s="1"/>
  <c r="EF16" i="5"/>
  <c r="FA16" i="5"/>
  <c r="FG16" i="5" s="1"/>
  <c r="EG47" i="5"/>
  <c r="FH47" i="5"/>
  <c r="EE20" i="5"/>
  <c r="EZ20" i="5"/>
  <c r="FF20" i="5" s="1"/>
  <c r="CM39" i="5"/>
  <c r="ER39" i="5"/>
  <c r="EX39" i="5" s="1"/>
  <c r="CL27" i="5"/>
  <c r="EQ27" i="5"/>
  <c r="EW27" i="5" s="1"/>
  <c r="CL36" i="5"/>
  <c r="EQ36" i="5"/>
  <c r="EW36" i="5" s="1"/>
  <c r="EF42" i="5"/>
  <c r="FA42" i="5"/>
  <c r="EE16" i="5"/>
  <c r="EZ16" i="5"/>
  <c r="FF16" i="5" s="1"/>
  <c r="CL43" i="5"/>
  <c r="EQ43" i="5"/>
  <c r="EW43" i="5" s="1"/>
  <c r="EE31" i="5"/>
  <c r="EZ31" i="5"/>
  <c r="FF31" i="5" s="1"/>
  <c r="CL31" i="5"/>
  <c r="EQ31" i="5"/>
  <c r="EW31" i="5" s="1"/>
  <c r="EF33" i="5"/>
  <c r="FA33" i="5"/>
  <c r="FG33" i="5" s="1"/>
  <c r="EF37" i="5"/>
  <c r="FA37" i="5"/>
  <c r="CM16" i="5"/>
  <c r="ER16" i="5"/>
  <c r="EX16" i="5" s="1"/>
  <c r="CL50" i="5"/>
  <c r="EQ50" i="5"/>
  <c r="EE36" i="5"/>
  <c r="FF36" i="5"/>
  <c r="CM40" i="5"/>
  <c r="ER40" i="5"/>
  <c r="EX40" i="5" s="1"/>
  <c r="FA50" i="5"/>
  <c r="EF30" i="5"/>
  <c r="FA30" i="5"/>
  <c r="FG30" i="5" s="1"/>
  <c r="EF23" i="5"/>
  <c r="FA23" i="5"/>
  <c r="FG23" i="5" s="1"/>
  <c r="CL47" i="5"/>
  <c r="EQ47" i="5"/>
  <c r="EW47" i="5" s="1"/>
  <c r="EF12" i="5"/>
  <c r="FA12" i="5"/>
  <c r="FG12" i="5" s="1"/>
  <c r="EE47" i="5"/>
  <c r="EZ47" i="5"/>
  <c r="FF47" i="5" s="1"/>
  <c r="CM47" i="5"/>
  <c r="ER47" i="5"/>
  <c r="EX47" i="5" s="1"/>
  <c r="CL38" i="5"/>
  <c r="EQ38" i="5"/>
  <c r="EW38" i="5" s="1"/>
  <c r="CM35" i="5"/>
  <c r="EF39" i="5"/>
  <c r="FA39" i="5"/>
  <c r="FG39" i="5" s="1"/>
  <c r="CM45" i="5"/>
  <c r="ER45" i="5"/>
  <c r="EX45" i="5" s="1"/>
  <c r="ER30" i="5"/>
  <c r="EX30" i="5" s="1"/>
  <c r="EE42" i="5"/>
  <c r="EZ42" i="5"/>
  <c r="EE38" i="5"/>
  <c r="EZ38" i="5"/>
  <c r="FF38" i="5" s="1"/>
  <c r="EE27" i="5"/>
  <c r="EZ27" i="5"/>
  <c r="FF27" i="5" s="1"/>
  <c r="EE23" i="5"/>
  <c r="EZ23" i="5"/>
  <c r="FF23" i="5" s="1"/>
  <c r="CM50" i="5"/>
  <c r="ER50" i="5"/>
  <c r="CL35" i="5"/>
  <c r="EQ35" i="5"/>
  <c r="EW35" i="5" s="1"/>
  <c r="EF29" i="5"/>
  <c r="FA29" i="5"/>
  <c r="FG29" i="5" s="1"/>
  <c r="EF35" i="5"/>
  <c r="FA35" i="5"/>
  <c r="FG35" i="5" s="1"/>
  <c r="EG39" i="5"/>
  <c r="FH39" i="5"/>
  <c r="EG28" i="5"/>
  <c r="EF41" i="5"/>
  <c r="FA41" i="5"/>
  <c r="FG41" i="5" s="1"/>
  <c r="EF28" i="5"/>
  <c r="FA28" i="5"/>
  <c r="CM46" i="5"/>
  <c r="ER46" i="5"/>
  <c r="EQ29" i="5"/>
  <c r="EW29" i="5" s="1"/>
  <c r="CM27" i="5"/>
  <c r="ER27" i="5"/>
  <c r="EX27" i="5" s="1"/>
  <c r="CM29" i="5"/>
  <c r="ER29" i="5"/>
  <c r="EX29" i="5" s="1"/>
  <c r="CL37" i="5"/>
  <c r="EQ37" i="5"/>
  <c r="EE35" i="5"/>
  <c r="EZ35" i="5"/>
  <c r="FF35" i="5" s="1"/>
  <c r="CL42" i="5"/>
  <c r="EQ42" i="5"/>
  <c r="EF32" i="5"/>
  <c r="FA32" i="5"/>
  <c r="FG32" i="5" s="1"/>
  <c r="EF20" i="5"/>
  <c r="FA20" i="5"/>
  <c r="FG20" i="5" s="1"/>
  <c r="CL39" i="5"/>
  <c r="EQ39" i="5"/>
  <c r="EW39" i="5" s="1"/>
  <c r="CM20" i="5"/>
  <c r="ER20" i="5"/>
  <c r="EX20" i="5" s="1"/>
  <c r="EG23" i="5"/>
  <c r="FH23" i="5"/>
  <c r="EE48" i="5"/>
  <c r="EZ48" i="5"/>
  <c r="FF48" i="5" s="1"/>
  <c r="EZ15" i="5"/>
  <c r="EE39" i="5"/>
  <c r="EZ39" i="5"/>
  <c r="FF39" i="5" s="1"/>
  <c r="FA49" i="5"/>
  <c r="CM34" i="5"/>
  <c r="ER34" i="5"/>
  <c r="EX34" i="5" s="1"/>
  <c r="CL23" i="5"/>
  <c r="EQ23" i="5"/>
  <c r="EW23" i="5" s="1"/>
  <c r="EE30" i="5"/>
  <c r="EZ30" i="5"/>
  <c r="FF30" i="5" s="1"/>
  <c r="CM24" i="5"/>
  <c r="ER24" i="5"/>
  <c r="EX24" i="5" s="1"/>
  <c r="EF34" i="5"/>
  <c r="FG34" i="5"/>
  <c r="CM42" i="5"/>
  <c r="ER42" i="5"/>
  <c r="EG41" i="5"/>
  <c r="FH41" i="5"/>
  <c r="EG46" i="5"/>
  <c r="CL14" i="5"/>
  <c r="EQ14" i="5"/>
  <c r="EW14" i="5" s="1"/>
  <c r="CM12" i="5"/>
  <c r="ER12" i="5"/>
  <c r="EX12" i="5" s="1"/>
  <c r="DC37" i="5"/>
  <c r="DC32" i="5"/>
  <c r="DC42" i="5"/>
  <c r="DC38" i="5"/>
  <c r="DC20" i="5"/>
  <c r="DC40" i="5"/>
  <c r="DC29" i="5"/>
  <c r="DC15" i="5"/>
  <c r="DC34" i="5"/>
  <c r="DC27" i="5"/>
  <c r="DC35" i="5"/>
  <c r="DC31" i="5"/>
  <c r="DC14" i="5"/>
  <c r="DC12" i="5"/>
  <c r="DC16" i="5"/>
  <c r="DC48" i="5"/>
  <c r="DC43" i="5"/>
  <c r="CH37" i="5"/>
  <c r="CH51" i="5" s="1"/>
  <c r="AX37" i="5"/>
  <c r="AX51" i="5" s="1"/>
  <c r="AG14" i="5"/>
  <c r="AH14" i="5"/>
  <c r="AJ14" i="5"/>
  <c r="AK14" i="5"/>
  <c r="AM14" i="5"/>
  <c r="AN14" i="5"/>
  <c r="AG15" i="5"/>
  <c r="AH15" i="5"/>
  <c r="AJ15" i="5"/>
  <c r="AK15" i="5"/>
  <c r="AJ16" i="5"/>
  <c r="AK16" i="5"/>
  <c r="AG17" i="5"/>
  <c r="AH17" i="5"/>
  <c r="AJ17" i="5"/>
  <c r="AK17" i="5"/>
  <c r="AG23" i="5"/>
  <c r="AH23" i="5"/>
  <c r="AJ23" i="5"/>
  <c r="AK23" i="5"/>
  <c r="AM23" i="5"/>
  <c r="AN23" i="5"/>
  <c r="AG31" i="5"/>
  <c r="AH31" i="5"/>
  <c r="AJ31" i="5"/>
  <c r="AK31" i="5"/>
  <c r="AM31" i="5"/>
  <c r="AN31" i="5"/>
  <c r="AG35" i="5"/>
  <c r="AH35" i="5"/>
  <c r="AJ35" i="5"/>
  <c r="AK35" i="5"/>
  <c r="AM35" i="5"/>
  <c r="AN35" i="5"/>
  <c r="AG20" i="5"/>
  <c r="AH20" i="5"/>
  <c r="AJ20" i="5"/>
  <c r="AK20" i="5"/>
  <c r="AM20" i="5"/>
  <c r="AN20" i="5"/>
  <c r="AG19" i="5"/>
  <c r="AH19" i="5"/>
  <c r="AJ19" i="5"/>
  <c r="AK19" i="5"/>
  <c r="AG24" i="5"/>
  <c r="AH24" i="5"/>
  <c r="AJ24" i="5"/>
  <c r="AK24" i="5"/>
  <c r="AM24" i="5"/>
  <c r="AN24" i="5"/>
  <c r="AG25" i="5"/>
  <c r="AH25" i="5"/>
  <c r="AJ25" i="5"/>
  <c r="AK25" i="5"/>
  <c r="AG26" i="5"/>
  <c r="AH26" i="5"/>
  <c r="AJ26" i="5"/>
  <c r="AK26" i="5"/>
  <c r="AG27" i="5"/>
  <c r="AH27" i="5"/>
  <c r="AJ27" i="5"/>
  <c r="AK27" i="5"/>
  <c r="AM27" i="5"/>
  <c r="AN27" i="5"/>
  <c r="AG28" i="5"/>
  <c r="AH28" i="5"/>
  <c r="AJ28" i="5"/>
  <c r="AK28" i="5"/>
  <c r="AM28" i="5"/>
  <c r="AN28" i="5"/>
  <c r="AG30" i="5"/>
  <c r="AH30" i="5"/>
  <c r="AJ30" i="5"/>
  <c r="AK30" i="5"/>
  <c r="AM30" i="5"/>
  <c r="AN30" i="5"/>
  <c r="AG29" i="5"/>
  <c r="AH29" i="5"/>
  <c r="AJ29" i="5"/>
  <c r="AK29" i="5"/>
  <c r="AM29" i="5"/>
  <c r="AN29" i="5"/>
  <c r="AG46" i="5"/>
  <c r="AH46" i="5"/>
  <c r="AJ46" i="5"/>
  <c r="AK46" i="5"/>
  <c r="AM46" i="5"/>
  <c r="AN46" i="5"/>
  <c r="AG32" i="5"/>
  <c r="AH32" i="5"/>
  <c r="AJ32" i="5"/>
  <c r="AK32" i="5"/>
  <c r="AG33" i="5"/>
  <c r="AH33" i="5"/>
  <c r="AJ33" i="5"/>
  <c r="AK33" i="5"/>
  <c r="AM33" i="5"/>
  <c r="AN33" i="5"/>
  <c r="AG34" i="5"/>
  <c r="AH34" i="5"/>
  <c r="AJ34" i="5"/>
  <c r="AK34" i="5"/>
  <c r="AG47" i="5"/>
  <c r="AH47" i="5"/>
  <c r="AJ47" i="5"/>
  <c r="AK47" i="5"/>
  <c r="AM47" i="5"/>
  <c r="AN47" i="5"/>
  <c r="AG36" i="5"/>
  <c r="AH36" i="5"/>
  <c r="AJ36" i="5"/>
  <c r="AK36" i="5"/>
  <c r="AM36" i="5"/>
  <c r="AN36" i="5"/>
  <c r="AG44" i="5"/>
  <c r="AH44" i="5"/>
  <c r="AJ44" i="5"/>
  <c r="AK44" i="5"/>
  <c r="AM44" i="5"/>
  <c r="AN44" i="5"/>
  <c r="AG38" i="5"/>
  <c r="AH38" i="5"/>
  <c r="AJ38" i="5"/>
  <c r="AK38" i="5"/>
  <c r="AG39" i="5"/>
  <c r="AH39" i="5"/>
  <c r="AJ39" i="5"/>
  <c r="AK39" i="5"/>
  <c r="AG48" i="5"/>
  <c r="AH48" i="5"/>
  <c r="AJ48" i="5"/>
  <c r="AK48" i="5"/>
  <c r="AM48" i="5"/>
  <c r="AN48" i="5"/>
  <c r="AG49" i="5"/>
  <c r="AH49" i="5"/>
  <c r="AJ49" i="5"/>
  <c r="AK49" i="5"/>
  <c r="AG40" i="5"/>
  <c r="AH40" i="5"/>
  <c r="AJ40" i="5"/>
  <c r="AK40" i="5"/>
  <c r="AM40" i="5"/>
  <c r="AN40" i="5"/>
  <c r="AG41" i="5"/>
  <c r="AH41" i="5"/>
  <c r="AJ41" i="5"/>
  <c r="AK41" i="5"/>
  <c r="AG50" i="5"/>
  <c r="AH50" i="5"/>
  <c r="AJ50" i="5"/>
  <c r="AK50" i="5"/>
  <c r="AG43" i="5"/>
  <c r="AH43" i="5"/>
  <c r="AJ43" i="5"/>
  <c r="AK43" i="5"/>
  <c r="AG42" i="5"/>
  <c r="AH42" i="5"/>
  <c r="AJ42" i="5"/>
  <c r="AK42" i="5"/>
  <c r="AG45" i="5"/>
  <c r="AH45" i="5"/>
  <c r="AJ45" i="5"/>
  <c r="AK45" i="5"/>
  <c r="AM45" i="5"/>
  <c r="AN45" i="5"/>
  <c r="AG12" i="5"/>
  <c r="AH12" i="5"/>
  <c r="AJ12" i="5"/>
  <c r="AK12" i="5"/>
  <c r="AH37" i="5"/>
  <c r="AI37" i="5"/>
  <c r="AJ37" i="5"/>
  <c r="AK37" i="5"/>
  <c r="AL37" i="5"/>
  <c r="AL51" i="5" s="1"/>
  <c r="AM37" i="5"/>
  <c r="AN37" i="5"/>
  <c r="AO37" i="5"/>
  <c r="AO51" i="5" s="1"/>
  <c r="AG37" i="5"/>
  <c r="AB42" i="5"/>
  <c r="AA42" i="5"/>
  <c r="AB43" i="5"/>
  <c r="AE43" i="5" s="1"/>
  <c r="AA43" i="5"/>
  <c r="AD43" i="5" s="1"/>
  <c r="AB50" i="5"/>
  <c r="AE50" i="5" s="1"/>
  <c r="AA50" i="5"/>
  <c r="AD50" i="5" s="1"/>
  <c r="AB41" i="5"/>
  <c r="AE41" i="5" s="1"/>
  <c r="AA41" i="5"/>
  <c r="AD41" i="5" s="1"/>
  <c r="AB40" i="5"/>
  <c r="AE40" i="5" s="1"/>
  <c r="AA40" i="5"/>
  <c r="AD40" i="5" s="1"/>
  <c r="AB49" i="5"/>
  <c r="AE49" i="5" s="1"/>
  <c r="AA49" i="5"/>
  <c r="AD49" i="5" s="1"/>
  <c r="AB39" i="5"/>
  <c r="AE39" i="5" s="1"/>
  <c r="AA39" i="5"/>
  <c r="AD39" i="5" s="1"/>
  <c r="AB38" i="5"/>
  <c r="AE38" i="5" s="1"/>
  <c r="AA38" i="5"/>
  <c r="AD38" i="5" s="1"/>
  <c r="AB44" i="5"/>
  <c r="AA44" i="5"/>
  <c r="AD44" i="5" s="1"/>
  <c r="AB34" i="5"/>
  <c r="AE34" i="5" s="1"/>
  <c r="AA34" i="5"/>
  <c r="AD34" i="5" s="1"/>
  <c r="AB33" i="5"/>
  <c r="AE33" i="5" s="1"/>
  <c r="AA33" i="5"/>
  <c r="AD33" i="5" s="1"/>
  <c r="AB32" i="5"/>
  <c r="AE32" i="5" s="1"/>
  <c r="AA32" i="5"/>
  <c r="AD32" i="5" s="1"/>
  <c r="AB29" i="5"/>
  <c r="AE29" i="5" s="1"/>
  <c r="AA29" i="5"/>
  <c r="AD29" i="5" s="1"/>
  <c r="AB30" i="5"/>
  <c r="AE30" i="5" s="1"/>
  <c r="AA30" i="5"/>
  <c r="AD30" i="5" s="1"/>
  <c r="AB28" i="5"/>
  <c r="AE28" i="5" s="1"/>
  <c r="AA28" i="5"/>
  <c r="AD28" i="5" s="1"/>
  <c r="AB27" i="5"/>
  <c r="AE27" i="5" s="1"/>
  <c r="AA27" i="5"/>
  <c r="AD27" i="5" s="1"/>
  <c r="AB26" i="5"/>
  <c r="AE26" i="5" s="1"/>
  <c r="AA26" i="5"/>
  <c r="AD26" i="5" s="1"/>
  <c r="AB25" i="5"/>
  <c r="AE25" i="5" s="1"/>
  <c r="AA25" i="5"/>
  <c r="AD25" i="5" s="1"/>
  <c r="AB19" i="5"/>
  <c r="AE19" i="5" s="1"/>
  <c r="AA19" i="5"/>
  <c r="AD19" i="5" s="1"/>
  <c r="AB18" i="5"/>
  <c r="AA18" i="5"/>
  <c r="AB35" i="5"/>
  <c r="AE35" i="5" s="1"/>
  <c r="AA35" i="5"/>
  <c r="AD35" i="5" s="1"/>
  <c r="AB31" i="5"/>
  <c r="AE31" i="5" s="1"/>
  <c r="AA31" i="5"/>
  <c r="AD31" i="5" s="1"/>
  <c r="AD17" i="5"/>
  <c r="AB16" i="5"/>
  <c r="AA16" i="5"/>
  <c r="AE12" i="5"/>
  <c r="AD12" i="5"/>
  <c r="AE45" i="5"/>
  <c r="AC37" i="5"/>
  <c r="AB37" i="5"/>
  <c r="AA37" i="5"/>
  <c r="P45" i="5"/>
  <c r="Q45" i="5"/>
  <c r="P12" i="5"/>
  <c r="P15" i="5"/>
  <c r="O31" i="5"/>
  <c r="Q31" i="5"/>
  <c r="AQ24" i="5"/>
  <c r="EI24" i="5" s="1"/>
  <c r="EO24" i="5" s="1"/>
  <c r="Q24" i="5"/>
  <c r="O25" i="5"/>
  <c r="P26" i="5"/>
  <c r="O30" i="5"/>
  <c r="Q46" i="5"/>
  <c r="O32" i="5"/>
  <c r="P33" i="5"/>
  <c r="O34" i="5"/>
  <c r="O47" i="5"/>
  <c r="O36" i="5"/>
  <c r="Q39" i="5"/>
  <c r="O48" i="5"/>
  <c r="P49" i="5"/>
  <c r="O41" i="5"/>
  <c r="O50" i="5"/>
  <c r="O42" i="5"/>
  <c r="M37" i="5"/>
  <c r="N37" i="5"/>
  <c r="O37" i="5"/>
  <c r="CO4" i="1"/>
  <c r="AG51" i="5" l="1"/>
  <c r="AC51" i="5"/>
  <c r="AF51" i="5" s="1"/>
  <c r="AD16" i="5"/>
  <c r="AA51" i="5"/>
  <c r="AD51" i="5" s="1"/>
  <c r="AK51" i="5"/>
  <c r="AN51" i="5"/>
  <c r="M51" i="5"/>
  <c r="P51" i="5" s="1"/>
  <c r="AI51" i="5"/>
  <c r="AH51" i="5"/>
  <c r="N51" i="5"/>
  <c r="Q51" i="5" s="1"/>
  <c r="AE16" i="5"/>
  <c r="AB51" i="5"/>
  <c r="AE51" i="5" s="1"/>
  <c r="AJ51" i="5"/>
  <c r="AM51" i="5"/>
  <c r="FA51" i="5"/>
  <c r="FF26" i="5"/>
  <c r="EZ51" i="5"/>
  <c r="EQ51" i="5"/>
  <c r="ER51" i="5"/>
  <c r="EX51" i="5" s="1"/>
  <c r="AD18" i="5"/>
  <c r="AP18" i="5"/>
  <c r="EH18" i="5" s="1"/>
  <c r="EN18" i="5" s="1"/>
  <c r="AE18" i="5"/>
  <c r="AQ18" i="5"/>
  <c r="EI18" i="5" s="1"/>
  <c r="EO18" i="5" s="1"/>
  <c r="FB37" i="5"/>
  <c r="CL51" i="5"/>
  <c r="CM51" i="5"/>
  <c r="EF51" i="5"/>
  <c r="EG51" i="5"/>
  <c r="EE51" i="5"/>
  <c r="AD37" i="5"/>
  <c r="CB37" i="5"/>
  <c r="AD42" i="5"/>
  <c r="FG42" i="5"/>
  <c r="AP35" i="5"/>
  <c r="EH35" i="5" s="1"/>
  <c r="EN35" i="5" s="1"/>
  <c r="FF42" i="5"/>
  <c r="AE42" i="5"/>
  <c r="AQ28" i="5"/>
  <c r="EI28" i="5" s="1"/>
  <c r="EW42" i="5"/>
  <c r="EX42" i="5"/>
  <c r="AQ17" i="5"/>
  <c r="EI17" i="5" s="1"/>
  <c r="O45" i="5"/>
  <c r="AF37" i="5"/>
  <c r="EW37" i="5"/>
  <c r="FF37" i="5"/>
  <c r="AE37" i="5"/>
  <c r="FG37" i="5"/>
  <c r="EX37" i="5"/>
  <c r="EG37" i="5"/>
  <c r="AP27" i="5"/>
  <c r="EH27" i="5" s="1"/>
  <c r="EN27" i="5" s="1"/>
  <c r="FH24" i="5"/>
  <c r="AP42" i="5"/>
  <c r="EG50" i="5"/>
  <c r="AP40" i="5"/>
  <c r="AS40" i="5" s="1"/>
  <c r="EP48" i="5"/>
  <c r="AQ39" i="5"/>
  <c r="EI39" i="5" s="1"/>
  <c r="EO39" i="5" s="1"/>
  <c r="AP38" i="5"/>
  <c r="EH38" i="5" s="1"/>
  <c r="EN38" i="5" s="1"/>
  <c r="EP36" i="5"/>
  <c r="AQ47" i="5"/>
  <c r="EI47" i="5" s="1"/>
  <c r="EO47" i="5" s="1"/>
  <c r="AP29" i="5"/>
  <c r="AS29" i="5" s="1"/>
  <c r="EP50" i="5"/>
  <c r="EP20" i="5"/>
  <c r="EP41" i="5"/>
  <c r="AP49" i="5"/>
  <c r="AS49" i="5" s="1"/>
  <c r="AQ38" i="5"/>
  <c r="EI38" i="5" s="1"/>
  <c r="EO38" i="5" s="1"/>
  <c r="EP47" i="5"/>
  <c r="AP33" i="5"/>
  <c r="AS33" i="5" s="1"/>
  <c r="AQ29" i="5"/>
  <c r="EI29" i="5" s="1"/>
  <c r="EO29" i="5" s="1"/>
  <c r="AP26" i="5"/>
  <c r="AS26" i="5" s="1"/>
  <c r="AQ42" i="5"/>
  <c r="EG49" i="5"/>
  <c r="EP30" i="5"/>
  <c r="EP23" i="5"/>
  <c r="EP25" i="5"/>
  <c r="FH18" i="5"/>
  <c r="EG18" i="5"/>
  <c r="FH33" i="5"/>
  <c r="EG33" i="5"/>
  <c r="EG16" i="5"/>
  <c r="FH16" i="5"/>
  <c r="EG35" i="5"/>
  <c r="FH35" i="5"/>
  <c r="EG29" i="5"/>
  <c r="FH29" i="5"/>
  <c r="EG38" i="5"/>
  <c r="FH38" i="5"/>
  <c r="FH26" i="5"/>
  <c r="EG26" i="5"/>
  <c r="EG48" i="5"/>
  <c r="FH48" i="5"/>
  <c r="EG31" i="5"/>
  <c r="FH31" i="5"/>
  <c r="EG27" i="5"/>
  <c r="FH27" i="5"/>
  <c r="EG15" i="5"/>
  <c r="FH15" i="5"/>
  <c r="EG20" i="5"/>
  <c r="FH20" i="5"/>
  <c r="EG14" i="5"/>
  <c r="FH14" i="5"/>
  <c r="EG32" i="5"/>
  <c r="FH32" i="5"/>
  <c r="EG43" i="5"/>
  <c r="FH43" i="5"/>
  <c r="EG12" i="5"/>
  <c r="EG34" i="5"/>
  <c r="EG40" i="5"/>
  <c r="FH40" i="5"/>
  <c r="AT24" i="5"/>
  <c r="EG42" i="5"/>
  <c r="FH42" i="5"/>
  <c r="BG37" i="5"/>
  <c r="BG51" i="5" s="1"/>
  <c r="CE37" i="5"/>
  <c r="CE51" i="5" s="1"/>
  <c r="EP43" i="5"/>
  <c r="AQ48" i="5"/>
  <c r="EI48" i="5" s="1"/>
  <c r="EO48" i="5" s="1"/>
  <c r="AR37" i="5"/>
  <c r="AR51" i="5" s="1"/>
  <c r="AQ44" i="5"/>
  <c r="EI44" i="5" s="1"/>
  <c r="EP34" i="5"/>
  <c r="AP16" i="5"/>
  <c r="EH16" i="5" s="1"/>
  <c r="AP43" i="5"/>
  <c r="EH43" i="5" s="1"/>
  <c r="EN43" i="5" s="1"/>
  <c r="EP42" i="5"/>
  <c r="EP38" i="5"/>
  <c r="EP29" i="5"/>
  <c r="AQ35" i="5"/>
  <c r="EI35" i="5" s="1"/>
  <c r="AQ50" i="5"/>
  <c r="EI50" i="5" s="1"/>
  <c r="EO50" i="5" s="1"/>
  <c r="AP39" i="5"/>
  <c r="EH39" i="5" s="1"/>
  <c r="EN39" i="5" s="1"/>
  <c r="EP33" i="5"/>
  <c r="AP46" i="5"/>
  <c r="EH46" i="5" s="1"/>
  <c r="AQ30" i="5"/>
  <c r="EI30" i="5" s="1"/>
  <c r="EO30" i="5" s="1"/>
  <c r="EP26" i="5"/>
  <c r="EP49" i="5"/>
  <c r="AQ40" i="5"/>
  <c r="EI40" i="5" s="1"/>
  <c r="EO40" i="5" s="1"/>
  <c r="EP27" i="5"/>
  <c r="EP19" i="5"/>
  <c r="AP20" i="5"/>
  <c r="EH20" i="5" s="1"/>
  <c r="EN20" i="5" s="1"/>
  <c r="AP15" i="5"/>
  <c r="EH15" i="5" s="1"/>
  <c r="AQ25" i="5"/>
  <c r="EI25" i="5" s="1"/>
  <c r="EO25" i="5" s="1"/>
  <c r="AQ20" i="5"/>
  <c r="EI20" i="5" s="1"/>
  <c r="EO20" i="5" s="1"/>
  <c r="AP17" i="5"/>
  <c r="EH17" i="5" s="1"/>
  <c r="AP44" i="5"/>
  <c r="EH44" i="5" s="1"/>
  <c r="AQ34" i="5"/>
  <c r="EI34" i="5" s="1"/>
  <c r="EO34" i="5" s="1"/>
  <c r="AQ27" i="5"/>
  <c r="EI27" i="5" s="1"/>
  <c r="EO27" i="5" s="1"/>
  <c r="AQ19" i="5"/>
  <c r="EI19" i="5" s="1"/>
  <c r="EO19" i="5" s="1"/>
  <c r="AQ16" i="5"/>
  <c r="EI16" i="5" s="1"/>
  <c r="AP12" i="5"/>
  <c r="AP23" i="5"/>
  <c r="EH23" i="5" s="1"/>
  <c r="AQ37" i="5"/>
  <c r="AP24" i="5"/>
  <c r="EH24" i="5" s="1"/>
  <c r="EN24" i="5" s="1"/>
  <c r="EP18" i="5"/>
  <c r="AQ23" i="5"/>
  <c r="EI23" i="5" s="1"/>
  <c r="EP40" i="5"/>
  <c r="AQ43" i="5"/>
  <c r="EI43" i="5" s="1"/>
  <c r="EO43" i="5" s="1"/>
  <c r="AQ32" i="5"/>
  <c r="EI32" i="5" s="1"/>
  <c r="EO32" i="5" s="1"/>
  <c r="O15" i="5"/>
  <c r="P35" i="5"/>
  <c r="AQ14" i="5"/>
  <c r="EI14" i="5" s="1"/>
  <c r="Q49" i="5"/>
  <c r="AQ36" i="5"/>
  <c r="EI36" i="5" s="1"/>
  <c r="EO36" i="5" s="1"/>
  <c r="O40" i="5"/>
  <c r="Q47" i="5"/>
  <c r="P30" i="5"/>
  <c r="Q35" i="5"/>
  <c r="AP32" i="5"/>
  <c r="EH32" i="5" s="1"/>
  <c r="EN32" i="5" s="1"/>
  <c r="AP34" i="5"/>
  <c r="EH34" i="5" s="1"/>
  <c r="EN34" i="5" s="1"/>
  <c r="AQ46" i="5"/>
  <c r="EI46" i="5" s="1"/>
  <c r="AP19" i="5"/>
  <c r="EH19" i="5" s="1"/>
  <c r="Q41" i="5"/>
  <c r="P36" i="5"/>
  <c r="Q30" i="5"/>
  <c r="P50" i="5"/>
  <c r="Q36" i="5"/>
  <c r="P29" i="5"/>
  <c r="O24" i="5"/>
  <c r="Q16" i="5"/>
  <c r="AQ12" i="5"/>
  <c r="AQ31" i="5"/>
  <c r="EI31" i="5" s="1"/>
  <c r="Q50" i="5"/>
  <c r="P38" i="5"/>
  <c r="O46" i="5"/>
  <c r="P24" i="5"/>
  <c r="O23" i="5"/>
  <c r="AP48" i="5"/>
  <c r="EH48" i="5" s="1"/>
  <c r="EN48" i="5" s="1"/>
  <c r="AP30" i="5"/>
  <c r="EH30" i="5" s="1"/>
  <c r="EN30" i="5" s="1"/>
  <c r="AP28" i="5"/>
  <c r="EH28" i="5" s="1"/>
  <c r="P42" i="5"/>
  <c r="O39" i="5"/>
  <c r="P46" i="5"/>
  <c r="O26" i="5"/>
  <c r="O18" i="5"/>
  <c r="Q23" i="5"/>
  <c r="Q28" i="5"/>
  <c r="AQ41" i="5"/>
  <c r="EI41" i="5" s="1"/>
  <c r="EO41" i="5" s="1"/>
  <c r="AP14" i="5"/>
  <c r="EH14" i="5" s="1"/>
  <c r="P37" i="5"/>
  <c r="P39" i="5"/>
  <c r="O33" i="5"/>
  <c r="Q26" i="5"/>
  <c r="P18" i="5"/>
  <c r="P31" i="5"/>
  <c r="P14" i="5"/>
  <c r="AP36" i="5"/>
  <c r="EH36" i="5" s="1"/>
  <c r="EN36" i="5" s="1"/>
  <c r="Q37" i="5"/>
  <c r="O49" i="5"/>
  <c r="Q33" i="5"/>
  <c r="O27" i="5"/>
  <c r="Q14" i="5"/>
  <c r="P40" i="5"/>
  <c r="O44" i="5"/>
  <c r="P34" i="5"/>
  <c r="P27" i="5"/>
  <c r="Q12" i="5"/>
  <c r="P43" i="5"/>
  <c r="Q40" i="5"/>
  <c r="P44" i="5"/>
  <c r="Q34" i="5"/>
  <c r="Q27" i="5"/>
  <c r="Q18" i="5"/>
  <c r="P23" i="5"/>
  <c r="Q15" i="5"/>
  <c r="O14" i="5"/>
  <c r="AP37" i="5"/>
  <c r="Q43" i="5"/>
  <c r="Q44" i="5"/>
  <c r="P32" i="5"/>
  <c r="O28" i="5"/>
  <c r="AP45" i="5"/>
  <c r="EH45" i="5" s="1"/>
  <c r="EN45" i="5" s="1"/>
  <c r="AP41" i="5"/>
  <c r="EH41" i="5" s="1"/>
  <c r="EN41" i="5" s="1"/>
  <c r="AP47" i="5"/>
  <c r="EH47" i="5" s="1"/>
  <c r="EN47" i="5" s="1"/>
  <c r="AP31" i="5"/>
  <c r="EH31" i="5" s="1"/>
  <c r="P48" i="5"/>
  <c r="P25" i="5"/>
  <c r="P41" i="5"/>
  <c r="Q48" i="5"/>
  <c r="O38" i="5"/>
  <c r="P47" i="5"/>
  <c r="Q32" i="5"/>
  <c r="O29" i="5"/>
  <c r="P28" i="5"/>
  <c r="Q25" i="5"/>
  <c r="AQ45" i="5"/>
  <c r="EI45" i="5" s="1"/>
  <c r="EO45" i="5" s="1"/>
  <c r="AQ49" i="5"/>
  <c r="EI49" i="5" s="1"/>
  <c r="EO49" i="5" s="1"/>
  <c r="AQ33" i="5"/>
  <c r="EI33" i="5" s="1"/>
  <c r="EO33" i="5" s="1"/>
  <c r="AQ26" i="5"/>
  <c r="EI26" i="5" s="1"/>
  <c r="EO26" i="5" s="1"/>
  <c r="EP39" i="5"/>
  <c r="EP24" i="5"/>
  <c r="Q42" i="5"/>
  <c r="Q38" i="5"/>
  <c r="Q29" i="5"/>
  <c r="O16" i="5"/>
  <c r="P16" i="5"/>
  <c r="O12" i="5"/>
  <c r="AP50" i="5"/>
  <c r="EH50" i="5" s="1"/>
  <c r="EN50" i="5" s="1"/>
  <c r="AP25" i="5"/>
  <c r="EH25" i="5" s="1"/>
  <c r="EN25" i="5" s="1"/>
  <c r="AQ15" i="5"/>
  <c r="EI15" i="5" s="1"/>
  <c r="EH12" i="5" l="1"/>
  <c r="AP51" i="5"/>
  <c r="CB51" i="5"/>
  <c r="FB51" i="5"/>
  <c r="FH51" i="5" s="1"/>
  <c r="EI12" i="5"/>
  <c r="AQ51" i="5"/>
  <c r="FF51" i="5"/>
  <c r="EW51" i="5"/>
  <c r="FH37" i="5"/>
  <c r="AS35" i="5"/>
  <c r="BJ51" i="5"/>
  <c r="FG51" i="5"/>
  <c r="AU51" i="5"/>
  <c r="AT28" i="5"/>
  <c r="AT47" i="5"/>
  <c r="AS42" i="5"/>
  <c r="EI42" i="5"/>
  <c r="EJ37" i="5"/>
  <c r="EH37" i="5"/>
  <c r="EN37" i="5" s="1"/>
  <c r="EI37" i="5"/>
  <c r="AS27" i="5"/>
  <c r="EH40" i="5"/>
  <c r="EN40" i="5" s="1"/>
  <c r="EP32" i="5"/>
  <c r="AT42" i="5"/>
  <c r="EH49" i="5"/>
  <c r="EN49" i="5" s="1"/>
  <c r="EH29" i="5"/>
  <c r="EN29" i="5" s="1"/>
  <c r="AT38" i="5"/>
  <c r="EH42" i="5"/>
  <c r="AS38" i="5"/>
  <c r="AT29" i="5"/>
  <c r="EH33" i="5"/>
  <c r="EN33" i="5" s="1"/>
  <c r="AT39" i="5"/>
  <c r="EH26" i="5"/>
  <c r="EN26" i="5" s="1"/>
  <c r="AT46" i="5"/>
  <c r="AT27" i="5"/>
  <c r="AS25" i="5"/>
  <c r="AS37" i="5"/>
  <c r="AT25" i="5"/>
  <c r="AS16" i="5"/>
  <c r="EN16" i="5"/>
  <c r="AT15" i="5"/>
  <c r="EO15" i="5"/>
  <c r="AS31" i="5"/>
  <c r="EN31" i="5"/>
  <c r="AT41" i="5"/>
  <c r="AS28" i="5"/>
  <c r="AT37" i="5"/>
  <c r="AT16" i="5"/>
  <c r="EO16" i="5"/>
  <c r="AT23" i="5"/>
  <c r="EO23" i="5"/>
  <c r="AS48" i="5"/>
  <c r="AT50" i="5"/>
  <c r="AT45" i="5"/>
  <c r="EP15" i="5"/>
  <c r="AS24" i="5"/>
  <c r="AS12" i="5"/>
  <c r="AT20" i="5"/>
  <c r="AS20" i="5"/>
  <c r="AS46" i="5"/>
  <c r="AU37" i="5"/>
  <c r="EP31" i="5"/>
  <c r="AT49" i="5"/>
  <c r="AS36" i="5"/>
  <c r="AS14" i="5"/>
  <c r="EN14" i="5"/>
  <c r="AS17" i="5"/>
  <c r="EN17" i="5"/>
  <c r="EP16" i="5"/>
  <c r="AT30" i="5"/>
  <c r="AS18" i="5"/>
  <c r="AT44" i="5"/>
  <c r="AT35" i="5"/>
  <c r="EO35" i="5"/>
  <c r="AT33" i="5"/>
  <c r="AS32" i="5"/>
  <c r="AT14" i="5"/>
  <c r="EO14" i="5"/>
  <c r="AT43" i="5"/>
  <c r="AT18" i="5"/>
  <c r="AS44" i="5"/>
  <c r="AS15" i="5"/>
  <c r="EN15" i="5"/>
  <c r="AT26" i="5"/>
  <c r="AS34" i="5"/>
  <c r="EP35" i="5"/>
  <c r="AT34" i="5"/>
  <c r="EP17" i="5"/>
  <c r="AT32" i="5"/>
  <c r="AT40" i="5"/>
  <c r="AS50" i="5"/>
  <c r="AT36" i="5"/>
  <c r="AS45" i="5"/>
  <c r="AS23" i="5"/>
  <c r="EN23" i="5"/>
  <c r="AS41" i="5"/>
  <c r="AT12" i="5"/>
  <c r="AS47" i="5"/>
  <c r="AS30" i="5"/>
  <c r="AT31" i="5"/>
  <c r="EO31" i="5"/>
  <c r="AS19" i="5"/>
  <c r="EP14" i="5"/>
  <c r="AT19" i="5"/>
  <c r="AS39" i="5"/>
  <c r="AS43" i="5"/>
  <c r="AT48" i="5"/>
  <c r="BJ46" i="5"/>
  <c r="BJ35" i="5"/>
  <c r="BJ42" i="5"/>
  <c r="BJ23" i="5"/>
  <c r="BJ50" i="5"/>
  <c r="BJ16" i="5"/>
  <c r="BJ40" i="5"/>
  <c r="BJ33" i="5"/>
  <c r="BJ24" i="5"/>
  <c r="BJ14" i="5"/>
  <c r="BJ38" i="5"/>
  <c r="BJ45" i="5"/>
  <c r="BJ36" i="5"/>
  <c r="BJ41" i="5"/>
  <c r="BJ34" i="5"/>
  <c r="BJ26" i="5"/>
  <c r="BJ20" i="5"/>
  <c r="BJ37" i="5"/>
  <c r="CK37" i="5"/>
  <c r="CK51" i="5" s="1"/>
  <c r="BJ29" i="5"/>
  <c r="BJ31" i="5"/>
  <c r="BJ43" i="5"/>
  <c r="BJ30" i="5"/>
  <c r="BJ47" i="5"/>
  <c r="BJ27" i="5"/>
  <c r="BJ18" i="5"/>
  <c r="BJ15" i="5"/>
  <c r="BJ48" i="5"/>
  <c r="BJ39" i="5"/>
  <c r="BJ12" i="5"/>
  <c r="BJ28" i="5"/>
  <c r="BJ49" i="5"/>
  <c r="BJ32" i="5"/>
  <c r="EJ51" i="5" l="1"/>
  <c r="EP51" i="5" s="1"/>
  <c r="EN12" i="5"/>
  <c r="EH51" i="5"/>
  <c r="EN51" i="5" s="1"/>
  <c r="EO12" i="5"/>
  <c r="EI51" i="5"/>
  <c r="EO51" i="5" s="1"/>
  <c r="EP37" i="5"/>
  <c r="CN51" i="5"/>
  <c r="AT51" i="5"/>
  <c r="AS51" i="5"/>
  <c r="EN42" i="5"/>
  <c r="EO42" i="5"/>
  <c r="EO37" i="5"/>
  <c r="CN29" i="5"/>
  <c r="CN14" i="5"/>
  <c r="CN49" i="5"/>
  <c r="CN39" i="5"/>
  <c r="CN18" i="5"/>
  <c r="CN28" i="5"/>
  <c r="CN34" i="5"/>
  <c r="CN16" i="5"/>
  <c r="CN32" i="5"/>
  <c r="CN15" i="5"/>
  <c r="CN30" i="5"/>
  <c r="CN37" i="5"/>
  <c r="ES37" i="5"/>
  <c r="CN45" i="5"/>
  <c r="CN24" i="5"/>
  <c r="CN12" i="5"/>
  <c r="CN47" i="5"/>
  <c r="CN40" i="5"/>
  <c r="CN26" i="5"/>
  <c r="CN31" i="5"/>
  <c r="CN33" i="5"/>
  <c r="CN36" i="5"/>
  <c r="CN23" i="5"/>
  <c r="CN27" i="5"/>
  <c r="CN20" i="5"/>
  <c r="CN35" i="5"/>
  <c r="CN38" i="5"/>
  <c r="CN50" i="5"/>
  <c r="CN43" i="5"/>
  <c r="CN41" i="5"/>
  <c r="CN42" i="5"/>
  <c r="CN48" i="5"/>
  <c r="CN46" i="5"/>
  <c r="CD21" i="1"/>
  <c r="DJ50" i="1"/>
  <c r="DJ49" i="1"/>
  <c r="DJ48" i="1"/>
  <c r="DJ42" i="1"/>
  <c r="DJ32" i="1"/>
  <c r="DJ9" i="1"/>
  <c r="DJ39" i="1"/>
  <c r="DJ34" i="1"/>
  <c r="AZ42" i="1"/>
  <c r="S42" i="1"/>
  <c r="O42" i="1"/>
  <c r="K42" i="1"/>
  <c r="AB42" i="1" s="1"/>
  <c r="AE32" i="1"/>
  <c r="AH32" i="1"/>
  <c r="AK32" i="1"/>
  <c r="AN32" i="1"/>
  <c r="AQ32" i="1"/>
  <c r="AT32" i="1"/>
  <c r="AW32" i="1"/>
  <c r="AZ32" i="1"/>
  <c r="BC32" i="1"/>
  <c r="BF32" i="1"/>
  <c r="BI32" i="1"/>
  <c r="BL32" i="1"/>
  <c r="BM32" i="1"/>
  <c r="BN32" i="1"/>
  <c r="BP32" i="1"/>
  <c r="BQ32" i="1"/>
  <c r="BS32" i="1"/>
  <c r="BT32" i="1"/>
  <c r="BX32" i="1"/>
  <c r="CA32" i="1"/>
  <c r="CD32" i="1"/>
  <c r="CG32" i="1"/>
  <c r="CJ32" i="1"/>
  <c r="CM32" i="1"/>
  <c r="CP32" i="1"/>
  <c r="CS32" i="1"/>
  <c r="CV32" i="1"/>
  <c r="CY32" i="1"/>
  <c r="DB32" i="1"/>
  <c r="DE32" i="1"/>
  <c r="DF32" i="1"/>
  <c r="DG32" i="1"/>
  <c r="DI32" i="1"/>
  <c r="DL32" i="1"/>
  <c r="DM32" i="1"/>
  <c r="DQ32" i="1"/>
  <c r="DT32" i="1"/>
  <c r="DW32" i="1"/>
  <c r="DZ32" i="1"/>
  <c r="EC32" i="1"/>
  <c r="EF32" i="1"/>
  <c r="AE42" i="1"/>
  <c r="AH42" i="1"/>
  <c r="AK42" i="1"/>
  <c r="AN42" i="1"/>
  <c r="AQ42" i="1"/>
  <c r="AT42" i="1"/>
  <c r="AW42" i="1"/>
  <c r="BC42" i="1"/>
  <c r="BF42" i="1"/>
  <c r="BI42" i="1"/>
  <c r="BL42" i="1"/>
  <c r="BM42" i="1"/>
  <c r="BN42" i="1"/>
  <c r="BP42" i="1"/>
  <c r="BQ42" i="1"/>
  <c r="BS42" i="1"/>
  <c r="BT42" i="1"/>
  <c r="BX42" i="1"/>
  <c r="CA42" i="1"/>
  <c r="CD42" i="1"/>
  <c r="CG42" i="1"/>
  <c r="CJ42" i="1"/>
  <c r="CM42" i="1"/>
  <c r="CP42" i="1"/>
  <c r="CS42" i="1"/>
  <c r="CV42" i="1"/>
  <c r="CY42" i="1"/>
  <c r="DB42" i="1"/>
  <c r="DE42" i="1"/>
  <c r="DF42" i="1"/>
  <c r="DG42" i="1"/>
  <c r="DI42" i="1"/>
  <c r="DL42" i="1"/>
  <c r="DM42" i="1"/>
  <c r="DQ42" i="1"/>
  <c r="DT42" i="1"/>
  <c r="DW42" i="1"/>
  <c r="DZ42" i="1"/>
  <c r="EC42" i="1"/>
  <c r="EF42" i="1"/>
  <c r="T48" i="1"/>
  <c r="AB48" i="1"/>
  <c r="AE48" i="1"/>
  <c r="AH48" i="1"/>
  <c r="AK48" i="1"/>
  <c r="AN48" i="1"/>
  <c r="AQ48" i="1"/>
  <c r="AT48" i="1"/>
  <c r="AW48" i="1"/>
  <c r="AZ48" i="1"/>
  <c r="BC48" i="1"/>
  <c r="BF48" i="1"/>
  <c r="BI48" i="1"/>
  <c r="BL48" i="1"/>
  <c r="BM48" i="1"/>
  <c r="BN48" i="1"/>
  <c r="BP48" i="1"/>
  <c r="BQ48" i="1"/>
  <c r="BS48" i="1"/>
  <c r="BT48" i="1"/>
  <c r="BX48" i="1"/>
  <c r="CA48" i="1"/>
  <c r="CD48" i="1"/>
  <c r="CG48" i="1"/>
  <c r="CJ48" i="1"/>
  <c r="CM48" i="1"/>
  <c r="CP48" i="1"/>
  <c r="CS48" i="1"/>
  <c r="CV48" i="1"/>
  <c r="CY48" i="1"/>
  <c r="DB48" i="1"/>
  <c r="DE48" i="1"/>
  <c r="DF48" i="1"/>
  <c r="DG48" i="1"/>
  <c r="DI48" i="1"/>
  <c r="DL48" i="1"/>
  <c r="DM48" i="1"/>
  <c r="DQ48" i="1"/>
  <c r="DT48" i="1"/>
  <c r="DW48" i="1"/>
  <c r="DZ48" i="1"/>
  <c r="EC48" i="1"/>
  <c r="EF48" i="1"/>
  <c r="T49" i="1"/>
  <c r="AB49" i="1"/>
  <c r="AE49" i="1"/>
  <c r="AH49" i="1"/>
  <c r="AK49" i="1"/>
  <c r="AN49" i="1"/>
  <c r="AQ49" i="1"/>
  <c r="AT49" i="1"/>
  <c r="AW49" i="1"/>
  <c r="AZ49" i="1"/>
  <c r="BC49" i="1"/>
  <c r="BF49" i="1"/>
  <c r="BI49" i="1"/>
  <c r="BL49" i="1"/>
  <c r="BM49" i="1"/>
  <c r="BN49" i="1"/>
  <c r="BP49" i="1"/>
  <c r="BQ49" i="1"/>
  <c r="BS49" i="1"/>
  <c r="BT49" i="1"/>
  <c r="BX49" i="1"/>
  <c r="CA49" i="1"/>
  <c r="CD49" i="1"/>
  <c r="CG49" i="1"/>
  <c r="CJ49" i="1"/>
  <c r="CM49" i="1"/>
  <c r="CP49" i="1"/>
  <c r="CS49" i="1"/>
  <c r="CV49" i="1"/>
  <c r="CY49" i="1"/>
  <c r="DB49" i="1"/>
  <c r="DE49" i="1"/>
  <c r="DF49" i="1"/>
  <c r="DG49" i="1"/>
  <c r="DI49" i="1"/>
  <c r="DL49" i="1"/>
  <c r="DM49" i="1"/>
  <c r="DQ49" i="1"/>
  <c r="DT49" i="1"/>
  <c r="DW49" i="1"/>
  <c r="DZ49" i="1"/>
  <c r="EC49" i="1"/>
  <c r="EF49" i="1"/>
  <c r="T50" i="1"/>
  <c r="AB50" i="1"/>
  <c r="AE50" i="1"/>
  <c r="AH50" i="1"/>
  <c r="AK50" i="1"/>
  <c r="AN50" i="1"/>
  <c r="AQ50" i="1"/>
  <c r="AT50" i="1"/>
  <c r="AW50" i="1"/>
  <c r="AZ50" i="1"/>
  <c r="BC50" i="1"/>
  <c r="BF50" i="1"/>
  <c r="BI50" i="1"/>
  <c r="BL50" i="1"/>
  <c r="BM50" i="1"/>
  <c r="BN50" i="1"/>
  <c r="BP50" i="1"/>
  <c r="BQ50" i="1"/>
  <c r="BS50" i="1"/>
  <c r="BT50" i="1"/>
  <c r="BX50" i="1"/>
  <c r="CA50" i="1"/>
  <c r="CD50" i="1"/>
  <c r="CG50" i="1"/>
  <c r="CJ50" i="1"/>
  <c r="CM50" i="1"/>
  <c r="CP50" i="1"/>
  <c r="CS50" i="1"/>
  <c r="CV50" i="1"/>
  <c r="CY50" i="1"/>
  <c r="DB50" i="1"/>
  <c r="DE50" i="1"/>
  <c r="DF50" i="1"/>
  <c r="DG50" i="1"/>
  <c r="DI50" i="1"/>
  <c r="DL50" i="1"/>
  <c r="DM50" i="1"/>
  <c r="DQ50" i="1"/>
  <c r="DT50" i="1"/>
  <c r="DW50" i="1"/>
  <c r="DZ50" i="1"/>
  <c r="EC50" i="1"/>
  <c r="EF50" i="1"/>
  <c r="S32" i="1"/>
  <c r="O32" i="1"/>
  <c r="K32" i="1"/>
  <c r="AB32" i="1" s="1"/>
  <c r="K9" i="1"/>
  <c r="AB9" i="1" s="1"/>
  <c r="K39" i="1"/>
  <c r="DE9" i="1"/>
  <c r="DE39" i="1"/>
  <c r="DB9" i="1"/>
  <c r="DB39" i="1"/>
  <c r="CY9" i="1"/>
  <c r="CY39" i="1"/>
  <c r="CV9" i="1"/>
  <c r="CV39" i="1"/>
  <c r="CV34" i="1"/>
  <c r="CS9" i="1"/>
  <c r="CS39" i="1"/>
  <c r="CS34" i="1"/>
  <c r="CP9" i="1"/>
  <c r="CP39" i="1"/>
  <c r="CP34" i="1"/>
  <c r="EF9" i="1"/>
  <c r="EC9" i="1"/>
  <c r="DZ9" i="1"/>
  <c r="DW9" i="1"/>
  <c r="DT9" i="1"/>
  <c r="DQ9" i="1"/>
  <c r="DM9" i="1"/>
  <c r="DL9" i="1"/>
  <c r="DI9" i="1"/>
  <c r="DG9" i="1"/>
  <c r="DF9" i="1"/>
  <c r="CM9" i="1"/>
  <c r="CJ9" i="1"/>
  <c r="CG9" i="1"/>
  <c r="CD9" i="1"/>
  <c r="CA9" i="1"/>
  <c r="BX9" i="1"/>
  <c r="BL9" i="1"/>
  <c r="BL39" i="1"/>
  <c r="BI9" i="1"/>
  <c r="BI39" i="1"/>
  <c r="BF9" i="1"/>
  <c r="BF39" i="1"/>
  <c r="BC9" i="1"/>
  <c r="BC39" i="1"/>
  <c r="AZ9" i="1"/>
  <c r="AZ39" i="1"/>
  <c r="AW9" i="1"/>
  <c r="AW39" i="1"/>
  <c r="AT9" i="1"/>
  <c r="AQ9" i="1"/>
  <c r="AN9" i="1"/>
  <c r="AK9" i="1"/>
  <c r="BT9" i="1"/>
  <c r="BS9" i="1"/>
  <c r="AH9" i="1"/>
  <c r="BQ9" i="1"/>
  <c r="BP9" i="1"/>
  <c r="AE9" i="1"/>
  <c r="BN9" i="1"/>
  <c r="BM9" i="1"/>
  <c r="S9" i="1"/>
  <c r="O9" i="1"/>
  <c r="S39" i="1"/>
  <c r="O39" i="1"/>
  <c r="EF39" i="1"/>
  <c r="EC39" i="1"/>
  <c r="DZ39" i="1"/>
  <c r="DW39" i="1"/>
  <c r="DT39" i="1"/>
  <c r="DQ39" i="1"/>
  <c r="DM39" i="1"/>
  <c r="DL39" i="1"/>
  <c r="DI39" i="1"/>
  <c r="DG39" i="1"/>
  <c r="DF39" i="1"/>
  <c r="CM39" i="1"/>
  <c r="CJ39" i="1"/>
  <c r="CG39" i="1"/>
  <c r="CD39" i="1"/>
  <c r="CA39" i="1"/>
  <c r="BU42" i="1" l="1"/>
  <c r="DH48" i="1"/>
  <c r="DH32" i="1"/>
  <c r="EI48" i="1"/>
  <c r="BR48" i="1"/>
  <c r="ES51" i="5"/>
  <c r="EY51" i="5" s="1"/>
  <c r="EG50" i="1"/>
  <c r="T32" i="1"/>
  <c r="EG48" i="1"/>
  <c r="DK49" i="1"/>
  <c r="EI39" i="1"/>
  <c r="BR49" i="1"/>
  <c r="EK48" i="1"/>
  <c r="EI50" i="1"/>
  <c r="T42" i="1"/>
  <c r="BR50" i="1"/>
  <c r="BU9" i="1"/>
  <c r="DN9" i="1"/>
  <c r="DH50" i="1"/>
  <c r="BU48" i="1"/>
  <c r="EK49" i="1"/>
  <c r="DK39" i="1"/>
  <c r="DN42" i="1"/>
  <c r="EY37" i="5"/>
  <c r="EK39" i="1"/>
  <c r="EG32" i="1"/>
  <c r="EJ50" i="1"/>
  <c r="EI49" i="1"/>
  <c r="EH49" i="1"/>
  <c r="DK32" i="1"/>
  <c r="DN32" i="1"/>
  <c r="DK9" i="1"/>
  <c r="DH49" i="1"/>
  <c r="DK48" i="1"/>
  <c r="EJ39" i="1"/>
  <c r="T9" i="1"/>
  <c r="BO9" i="1"/>
  <c r="DN39" i="1"/>
  <c r="EK50" i="1"/>
  <c r="EH50" i="1"/>
  <c r="BR32" i="1"/>
  <c r="EG9" i="1"/>
  <c r="EJ49" i="1"/>
  <c r="BO48" i="1"/>
  <c r="BU50" i="1"/>
  <c r="EJ48" i="1"/>
  <c r="EK9" i="1"/>
  <c r="DK50" i="1"/>
  <c r="DN50" i="1"/>
  <c r="EG49" i="1"/>
  <c r="BU49" i="1"/>
  <c r="EH32" i="1"/>
  <c r="EH9" i="1"/>
  <c r="BR9" i="1"/>
  <c r="DN49" i="1"/>
  <c r="EH48" i="1"/>
  <c r="DN48" i="1"/>
  <c r="T39" i="1"/>
  <c r="DH42" i="1"/>
  <c r="DK42" i="1"/>
  <c r="EI42" i="1"/>
  <c r="EK42" i="1"/>
  <c r="EJ42" i="1"/>
  <c r="BR42" i="1"/>
  <c r="BO42" i="1"/>
  <c r="EG42" i="1"/>
  <c r="EK32" i="1"/>
  <c r="EJ32" i="1"/>
  <c r="BU32" i="1"/>
  <c r="EI32" i="1"/>
  <c r="BO50" i="1"/>
  <c r="EH42" i="1"/>
  <c r="BO32" i="1"/>
  <c r="BO49" i="1"/>
  <c r="EJ9" i="1"/>
  <c r="EI9" i="1"/>
  <c r="EH39" i="1"/>
  <c r="DH9" i="1"/>
  <c r="BX39" i="1"/>
  <c r="DH39" i="1" s="1"/>
  <c r="BT39" i="1"/>
  <c r="BS39" i="1"/>
  <c r="BQ39" i="1"/>
  <c r="BP39" i="1"/>
  <c r="BN39" i="1"/>
  <c r="BM39" i="1"/>
  <c r="AT39" i="1"/>
  <c r="AQ39" i="1"/>
  <c r="AN39" i="1"/>
  <c r="AK39" i="1"/>
  <c r="BU39" i="1" s="1"/>
  <c r="AH39" i="1"/>
  <c r="BR39" i="1" s="1"/>
  <c r="AE39" i="1"/>
  <c r="BO39" i="1" s="1"/>
  <c r="AB39" i="1"/>
  <c r="EF34" i="1"/>
  <c r="EC34" i="1"/>
  <c r="DZ34" i="1"/>
  <c r="DW34" i="1"/>
  <c r="DT34" i="1"/>
  <c r="DQ34" i="1"/>
  <c r="DM34" i="1"/>
  <c r="DL34" i="1"/>
  <c r="DI34" i="1"/>
  <c r="DG34" i="1"/>
  <c r="DF34" i="1"/>
  <c r="DE34" i="1"/>
  <c r="DB34" i="1"/>
  <c r="CY34" i="1"/>
  <c r="CM34" i="1"/>
  <c r="CJ34" i="1"/>
  <c r="CG34" i="1"/>
  <c r="CD34" i="1"/>
  <c r="CA34" i="1"/>
  <c r="BX34" i="1"/>
  <c r="BC34" i="1"/>
  <c r="BK34" i="1"/>
  <c r="BT34" i="1" s="1"/>
  <c r="BJ34" i="1"/>
  <c r="BS34" i="1" s="1"/>
  <c r="AZ34" i="1"/>
  <c r="BH34" i="1"/>
  <c r="BQ34" i="1" s="1"/>
  <c r="BG34" i="1"/>
  <c r="BP34" i="1" s="1"/>
  <c r="AW34" i="1"/>
  <c r="BE34" i="1"/>
  <c r="BN34" i="1" s="1"/>
  <c r="BD34" i="1"/>
  <c r="BM34" i="1" s="1"/>
  <c r="AT34" i="1"/>
  <c r="AQ34" i="1"/>
  <c r="AN34" i="1"/>
  <c r="AK34" i="1"/>
  <c r="AH34" i="1"/>
  <c r="AE34" i="1"/>
  <c r="S34" i="1"/>
  <c r="O34" i="1"/>
  <c r="K34" i="1"/>
  <c r="AB34" i="1" s="1"/>
  <c r="AZ26" i="1"/>
  <c r="DO25" i="1"/>
  <c r="DP25" i="1"/>
  <c r="DX25" i="1"/>
  <c r="DY25" i="1"/>
  <c r="CJ12" i="1"/>
  <c r="DO14" i="1"/>
  <c r="EF13" i="1"/>
  <c r="EC13" i="1"/>
  <c r="DZ13" i="1"/>
  <c r="DW13" i="1"/>
  <c r="DT13" i="1"/>
  <c r="DQ13" i="1"/>
  <c r="CV13" i="1"/>
  <c r="DD13" i="1"/>
  <c r="DM13" i="1" s="1"/>
  <c r="DC13" i="1"/>
  <c r="DL13" i="1" s="1"/>
  <c r="CS13" i="1"/>
  <c r="DA13" i="1"/>
  <c r="DJ13" i="1" s="1"/>
  <c r="CZ13" i="1"/>
  <c r="DI13" i="1" s="1"/>
  <c r="CP13" i="1"/>
  <c r="CX13" i="1"/>
  <c r="DG13" i="1" s="1"/>
  <c r="CW13" i="1"/>
  <c r="DF13" i="1" s="1"/>
  <c r="CM13" i="1"/>
  <c r="CJ13" i="1"/>
  <c r="CG13" i="1"/>
  <c r="CD13" i="1"/>
  <c r="CA13" i="1"/>
  <c r="BX13" i="1"/>
  <c r="BC13" i="1"/>
  <c r="BK13" i="1"/>
  <c r="BT13" i="1" s="1"/>
  <c r="BJ13" i="1"/>
  <c r="BS13" i="1" s="1"/>
  <c r="AZ13" i="1"/>
  <c r="BH13" i="1"/>
  <c r="BQ13" i="1" s="1"/>
  <c r="BG13" i="1"/>
  <c r="BP13" i="1" s="1"/>
  <c r="AW13" i="1"/>
  <c r="BE13" i="1"/>
  <c r="BN13" i="1" s="1"/>
  <c r="BD13" i="1"/>
  <c r="BM13" i="1" s="1"/>
  <c r="AT13" i="1"/>
  <c r="AQ13" i="1"/>
  <c r="AN13" i="1"/>
  <c r="AK13" i="1"/>
  <c r="AH13" i="1"/>
  <c r="AE13" i="1"/>
  <c r="S13" i="1"/>
  <c r="O13" i="1"/>
  <c r="K13" i="1"/>
  <c r="AB13" i="1" s="1"/>
  <c r="CZ28" i="1"/>
  <c r="DA28" i="1"/>
  <c r="CW28" i="1"/>
  <c r="CX28" i="1"/>
  <c r="K10" i="1"/>
  <c r="T34" i="1" l="1"/>
  <c r="DN34" i="1"/>
  <c r="CY28" i="1"/>
  <c r="T13" i="1"/>
  <c r="DK34" i="1"/>
  <c r="EG34" i="1"/>
  <c r="EG13" i="1"/>
  <c r="DH34" i="1"/>
  <c r="DB28" i="1"/>
  <c r="EG39" i="1"/>
  <c r="BL34" i="1"/>
  <c r="BU34" i="1" s="1"/>
  <c r="BI34" i="1"/>
  <c r="BR34" i="1" s="1"/>
  <c r="BF34" i="1"/>
  <c r="BO34" i="1" s="1"/>
  <c r="DE13" i="1"/>
  <c r="DN13" i="1" s="1"/>
  <c r="DB13" i="1"/>
  <c r="DK13" i="1" s="1"/>
  <c r="CY13" i="1"/>
  <c r="BL13" i="1"/>
  <c r="BU13" i="1" s="1"/>
  <c r="BI13" i="1"/>
  <c r="BR13" i="1" s="1"/>
  <c r="BF13" i="1"/>
  <c r="BO13" i="1" s="1"/>
  <c r="EJ34" i="1" l="1"/>
  <c r="EI13" i="1"/>
  <c r="EI34" i="1"/>
  <c r="EK13" i="1"/>
  <c r="EK34" i="1"/>
  <c r="EJ13" i="1"/>
  <c r="EH34" i="1"/>
  <c r="EH13" i="1"/>
  <c r="DH13" i="1"/>
  <c r="EF6" i="1" l="1"/>
  <c r="EC6" i="1"/>
  <c r="DZ6" i="1"/>
  <c r="DW6" i="1"/>
  <c r="DT6" i="1"/>
  <c r="DQ6" i="1"/>
  <c r="CV6" i="1"/>
  <c r="DD6" i="1"/>
  <c r="DM6" i="1" s="1"/>
  <c r="DC6" i="1"/>
  <c r="DL6" i="1" s="1"/>
  <c r="CS6" i="1"/>
  <c r="DA6" i="1"/>
  <c r="DJ6" i="1" s="1"/>
  <c r="CZ6" i="1"/>
  <c r="DI6" i="1" s="1"/>
  <c r="CP6" i="1"/>
  <c r="CX6" i="1"/>
  <c r="DG6" i="1" s="1"/>
  <c r="CW6" i="1"/>
  <c r="DF6" i="1" s="1"/>
  <c r="CM6" i="1"/>
  <c r="CJ6" i="1"/>
  <c r="CG6" i="1"/>
  <c r="CD6" i="1"/>
  <c r="CA6" i="1"/>
  <c r="BX6" i="1"/>
  <c r="BC6" i="1"/>
  <c r="BK6" i="1"/>
  <c r="BT6" i="1" s="1"/>
  <c r="BJ6" i="1"/>
  <c r="BS6" i="1" s="1"/>
  <c r="AZ6" i="1"/>
  <c r="BH6" i="1"/>
  <c r="BQ6" i="1" s="1"/>
  <c r="BG6" i="1"/>
  <c r="BP6" i="1" s="1"/>
  <c r="AW6" i="1"/>
  <c r="BE6" i="1"/>
  <c r="BN6" i="1" s="1"/>
  <c r="BD6" i="1"/>
  <c r="BM6" i="1" s="1"/>
  <c r="AT6" i="1"/>
  <c r="AQ6" i="1"/>
  <c r="AN6" i="1"/>
  <c r="AK6" i="1"/>
  <c r="AH6" i="1"/>
  <c r="AE6" i="1"/>
  <c r="S6" i="1"/>
  <c r="O6" i="1"/>
  <c r="K6" i="1"/>
  <c r="AB6" i="1" s="1"/>
  <c r="EF3" i="1"/>
  <c r="EC3" i="1"/>
  <c r="DZ3" i="1"/>
  <c r="DW3" i="1"/>
  <c r="DT3" i="1"/>
  <c r="DQ3" i="1"/>
  <c r="CW3" i="1"/>
  <c r="DF3" i="1" s="1"/>
  <c r="CX3" i="1"/>
  <c r="DG3" i="1" s="1"/>
  <c r="CZ3" i="1"/>
  <c r="DA3" i="1"/>
  <c r="DJ3" i="1" s="1"/>
  <c r="DC3" i="1"/>
  <c r="DD3" i="1"/>
  <c r="DM3" i="1" s="1"/>
  <c r="CP3" i="1"/>
  <c r="CS3" i="1"/>
  <c r="CV3" i="1"/>
  <c r="CM3" i="1"/>
  <c r="CJ3" i="1"/>
  <c r="CG3" i="1"/>
  <c r="CD3" i="1"/>
  <c r="CA3" i="1"/>
  <c r="BX3" i="1"/>
  <c r="BK3" i="1"/>
  <c r="BT3" i="1" s="1"/>
  <c r="BJ3" i="1"/>
  <c r="BH3" i="1"/>
  <c r="BQ3" i="1" s="1"/>
  <c r="BG3" i="1"/>
  <c r="BE3" i="1"/>
  <c r="BN3" i="1" s="1"/>
  <c r="BD3" i="1"/>
  <c r="BM3" i="1" s="1"/>
  <c r="BC3" i="1"/>
  <c r="AZ3" i="1"/>
  <c r="AW3" i="1"/>
  <c r="AT3" i="1"/>
  <c r="AQ3" i="1"/>
  <c r="AN3" i="1"/>
  <c r="AK3" i="1"/>
  <c r="AH3" i="1"/>
  <c r="AE3" i="1"/>
  <c r="S3" i="1"/>
  <c r="O3" i="1"/>
  <c r="K3" i="1"/>
  <c r="AB3" i="1" s="1"/>
  <c r="EF17" i="1"/>
  <c r="EC17" i="1"/>
  <c r="DZ17" i="1"/>
  <c r="DW17" i="1"/>
  <c r="DT17" i="1"/>
  <c r="DQ17" i="1"/>
  <c r="CZ17" i="1"/>
  <c r="DI17" i="1" s="1"/>
  <c r="DA17" i="1"/>
  <c r="DC17" i="1"/>
  <c r="DD17" i="1"/>
  <c r="DM17" i="1" s="1"/>
  <c r="CS17" i="1"/>
  <c r="CV17" i="1"/>
  <c r="CP17" i="1"/>
  <c r="CX17" i="1"/>
  <c r="DG17" i="1" s="1"/>
  <c r="CW17" i="1"/>
  <c r="DF17" i="1" s="1"/>
  <c r="CM17" i="1"/>
  <c r="CJ17" i="1"/>
  <c r="CG17" i="1"/>
  <c r="CD17" i="1"/>
  <c r="CA17" i="1"/>
  <c r="BX17" i="1"/>
  <c r="BC17" i="1"/>
  <c r="BK17" i="1"/>
  <c r="BT17" i="1" s="1"/>
  <c r="BJ17" i="1"/>
  <c r="BS17" i="1" s="1"/>
  <c r="AZ17" i="1"/>
  <c r="BH17" i="1"/>
  <c r="BQ17" i="1" s="1"/>
  <c r="BG17" i="1"/>
  <c r="BP17" i="1" s="1"/>
  <c r="AW17" i="1"/>
  <c r="BE17" i="1"/>
  <c r="BN17" i="1" s="1"/>
  <c r="BD17" i="1"/>
  <c r="BM17" i="1" s="1"/>
  <c r="AT28" i="1"/>
  <c r="AT46" i="1"/>
  <c r="AT27" i="1"/>
  <c r="AT11" i="1"/>
  <c r="AT17" i="1"/>
  <c r="AQ17" i="1"/>
  <c r="AN17" i="1"/>
  <c r="AK17" i="1"/>
  <c r="AH17" i="1"/>
  <c r="AE17" i="1"/>
  <c r="S17" i="1"/>
  <c r="O17" i="1"/>
  <c r="K17" i="1"/>
  <c r="AB17" i="1" s="1"/>
  <c r="EF11" i="1"/>
  <c r="EC11" i="1"/>
  <c r="DZ11" i="1"/>
  <c r="DW11" i="1"/>
  <c r="DT11" i="1"/>
  <c r="DQ11" i="1"/>
  <c r="CV11" i="1"/>
  <c r="DD11" i="1"/>
  <c r="DM11" i="1" s="1"/>
  <c r="DC11" i="1"/>
  <c r="DL11" i="1" s="1"/>
  <c r="CS11" i="1"/>
  <c r="DA11" i="1"/>
  <c r="DJ11" i="1" s="1"/>
  <c r="CZ11" i="1"/>
  <c r="DI11" i="1" s="1"/>
  <c r="CP11" i="1"/>
  <c r="CX11" i="1"/>
  <c r="DG11" i="1" s="1"/>
  <c r="CW11" i="1"/>
  <c r="DF11" i="1" s="1"/>
  <c r="CM11" i="1"/>
  <c r="CJ11" i="1"/>
  <c r="CG11" i="1"/>
  <c r="CD11" i="1"/>
  <c r="CA11" i="1"/>
  <c r="BX11" i="1"/>
  <c r="BC11" i="1"/>
  <c r="BK11" i="1"/>
  <c r="BT11" i="1" s="1"/>
  <c r="BJ11" i="1"/>
  <c r="BS11" i="1" s="1"/>
  <c r="AZ11" i="1"/>
  <c r="BH11" i="1"/>
  <c r="BQ11" i="1" s="1"/>
  <c r="BG11" i="1"/>
  <c r="BP11" i="1" s="1"/>
  <c r="AW11" i="1"/>
  <c r="BE11" i="1"/>
  <c r="BN11" i="1" s="1"/>
  <c r="BD11" i="1"/>
  <c r="BM11" i="1" s="1"/>
  <c r="AQ11" i="1"/>
  <c r="AN11" i="1"/>
  <c r="AK11" i="1"/>
  <c r="AH11" i="1"/>
  <c r="AE11" i="1"/>
  <c r="S11" i="1"/>
  <c r="O11" i="1"/>
  <c r="K11" i="1"/>
  <c r="AB11" i="1" s="1"/>
  <c r="EF27" i="1"/>
  <c r="EC27" i="1"/>
  <c r="DZ27" i="1"/>
  <c r="DQ27" i="1"/>
  <c r="DW27" i="1"/>
  <c r="DT27" i="1"/>
  <c r="CZ25" i="1"/>
  <c r="DA25" i="1"/>
  <c r="DC25" i="1"/>
  <c r="DD25" i="1"/>
  <c r="CW4" i="1"/>
  <c r="CX4" i="1"/>
  <c r="CZ4" i="1"/>
  <c r="DA4" i="1"/>
  <c r="DC4" i="1"/>
  <c r="DD4" i="1"/>
  <c r="CW21" i="1"/>
  <c r="CX21" i="1"/>
  <c r="CZ21" i="1"/>
  <c r="DA21" i="1"/>
  <c r="DC21" i="1"/>
  <c r="DD21" i="1"/>
  <c r="CW19" i="1"/>
  <c r="CX19" i="1"/>
  <c r="CZ19" i="1"/>
  <c r="DA19" i="1"/>
  <c r="DC19" i="1"/>
  <c r="DD19" i="1"/>
  <c r="CW26" i="1"/>
  <c r="CX26" i="1"/>
  <c r="CZ26" i="1"/>
  <c r="DA26" i="1"/>
  <c r="DC26" i="1"/>
  <c r="DD26" i="1"/>
  <c r="CW25" i="1"/>
  <c r="CX25" i="1"/>
  <c r="CW20" i="1"/>
  <c r="CX20" i="1"/>
  <c r="CZ20" i="1"/>
  <c r="DA20" i="1"/>
  <c r="DC20" i="1"/>
  <c r="DD20" i="1"/>
  <c r="CW40" i="1"/>
  <c r="CX40" i="1"/>
  <c r="CZ40" i="1"/>
  <c r="DA40" i="1"/>
  <c r="DC40" i="1"/>
  <c r="DD40" i="1"/>
  <c r="CW47" i="1"/>
  <c r="CX47" i="1"/>
  <c r="CZ47" i="1"/>
  <c r="DA47" i="1"/>
  <c r="DC47" i="1"/>
  <c r="DD47" i="1"/>
  <c r="CW33" i="1"/>
  <c r="CX33" i="1"/>
  <c r="CZ33" i="1"/>
  <c r="DA33" i="1"/>
  <c r="DC33" i="1"/>
  <c r="DD33" i="1"/>
  <c r="CW5" i="1"/>
  <c r="CX5" i="1"/>
  <c r="CZ5" i="1"/>
  <c r="DA5" i="1"/>
  <c r="DC5" i="1"/>
  <c r="DD5" i="1"/>
  <c r="CW31" i="1"/>
  <c r="CX31" i="1"/>
  <c r="DG31" i="1" s="1"/>
  <c r="CZ31" i="1"/>
  <c r="DI31" i="1" s="1"/>
  <c r="DA31" i="1"/>
  <c r="DJ31" i="1" s="1"/>
  <c r="DC31" i="1"/>
  <c r="DL31" i="1" s="1"/>
  <c r="DD31" i="1"/>
  <c r="DM31" i="1" s="1"/>
  <c r="DJ28" i="1"/>
  <c r="DC28" i="1"/>
  <c r="DD28" i="1"/>
  <c r="DM28" i="1" s="1"/>
  <c r="CW46" i="1"/>
  <c r="DF46" i="1" s="1"/>
  <c r="CX46" i="1"/>
  <c r="CZ46" i="1"/>
  <c r="DI46" i="1" s="1"/>
  <c r="DA46" i="1"/>
  <c r="DC46" i="1"/>
  <c r="DD46" i="1"/>
  <c r="DM46" i="1" s="1"/>
  <c r="CW27" i="1"/>
  <c r="CX27" i="1"/>
  <c r="DG27" i="1" s="1"/>
  <c r="CZ27" i="1"/>
  <c r="DI27" i="1" s="1"/>
  <c r="DA27" i="1"/>
  <c r="DJ27" i="1" s="1"/>
  <c r="DC27" i="1"/>
  <c r="DD27" i="1"/>
  <c r="DM27" i="1" s="1"/>
  <c r="CV27" i="1"/>
  <c r="CS27" i="1"/>
  <c r="CP27" i="1"/>
  <c r="CM27" i="1"/>
  <c r="CJ27" i="1"/>
  <c r="CG27" i="1"/>
  <c r="CD27" i="1"/>
  <c r="CA27" i="1"/>
  <c r="BX27" i="1"/>
  <c r="BG31" i="1"/>
  <c r="BP31" i="1" s="1"/>
  <c r="BH31" i="1"/>
  <c r="BQ31" i="1" s="1"/>
  <c r="BJ31" i="1"/>
  <c r="BK31" i="1"/>
  <c r="BT31" i="1" s="1"/>
  <c r="BG28" i="1"/>
  <c r="BP28" i="1" s="1"/>
  <c r="BH28" i="1"/>
  <c r="BJ28" i="1"/>
  <c r="BK28" i="1"/>
  <c r="BT28" i="1" s="1"/>
  <c r="BG46" i="1"/>
  <c r="BP46" i="1" s="1"/>
  <c r="BH46" i="1"/>
  <c r="BQ46" i="1" s="1"/>
  <c r="BJ46" i="1"/>
  <c r="BS46" i="1" s="1"/>
  <c r="BK46" i="1"/>
  <c r="BG27" i="1"/>
  <c r="BP27" i="1" s="1"/>
  <c r="BH27" i="1"/>
  <c r="BQ27" i="1" s="1"/>
  <c r="BJ27" i="1"/>
  <c r="BS27" i="1" s="1"/>
  <c r="BK27" i="1"/>
  <c r="BT27" i="1" s="1"/>
  <c r="BE31" i="1"/>
  <c r="BN31" i="1" s="1"/>
  <c r="BE28" i="1"/>
  <c r="BN28" i="1" s="1"/>
  <c r="BE46" i="1"/>
  <c r="BN46" i="1" s="1"/>
  <c r="BE27" i="1"/>
  <c r="BN27" i="1" s="1"/>
  <c r="BD31" i="1"/>
  <c r="BD28" i="1"/>
  <c r="BM28" i="1" s="1"/>
  <c r="BD46" i="1"/>
  <c r="BD27" i="1"/>
  <c r="BM27" i="1" s="1"/>
  <c r="BC27" i="1"/>
  <c r="AZ27" i="1"/>
  <c r="AW27" i="1"/>
  <c r="AQ27" i="1"/>
  <c r="AN27" i="1"/>
  <c r="AK27" i="1"/>
  <c r="AH27" i="1"/>
  <c r="AE27" i="1"/>
  <c r="S27" i="1"/>
  <c r="O27" i="1"/>
  <c r="K27" i="1"/>
  <c r="AB27" i="1" s="1"/>
  <c r="EF5" i="1"/>
  <c r="EF46" i="1"/>
  <c r="EC46" i="1"/>
  <c r="DZ46" i="1"/>
  <c r="DW46" i="1"/>
  <c r="DT46" i="1"/>
  <c r="DQ46" i="1"/>
  <c r="DG28" i="1"/>
  <c r="DI28" i="1"/>
  <c r="CV46" i="1"/>
  <c r="CS46" i="1"/>
  <c r="CP46" i="1"/>
  <c r="CM28" i="1"/>
  <c r="CM46" i="1"/>
  <c r="CJ28" i="1"/>
  <c r="CJ46" i="1"/>
  <c r="CG46" i="1"/>
  <c r="CD28" i="1"/>
  <c r="CD46" i="1"/>
  <c r="CA28" i="1"/>
  <c r="CA46" i="1"/>
  <c r="BX46" i="1"/>
  <c r="BC46" i="1"/>
  <c r="AZ46" i="1"/>
  <c r="AW46" i="1"/>
  <c r="AQ46" i="1"/>
  <c r="AN46" i="1"/>
  <c r="AK46" i="1"/>
  <c r="AH46" i="1"/>
  <c r="AE46" i="1"/>
  <c r="O46" i="1"/>
  <c r="K46" i="1"/>
  <c r="AB46" i="1" s="1"/>
  <c r="CM31" i="1"/>
  <c r="CV28" i="1"/>
  <c r="CS28" i="1"/>
  <c r="CP28" i="1"/>
  <c r="CG28" i="1"/>
  <c r="BX28" i="1"/>
  <c r="BC28" i="1"/>
  <c r="AZ28" i="1"/>
  <c r="AW28" i="1"/>
  <c r="AQ28" i="1"/>
  <c r="AN28" i="1"/>
  <c r="AK28" i="1"/>
  <c r="AH28" i="1"/>
  <c r="AE28" i="1"/>
  <c r="S28" i="1"/>
  <c r="S46" i="1"/>
  <c r="O28" i="1"/>
  <c r="K28" i="1"/>
  <c r="AB28" i="1" s="1"/>
  <c r="EF31" i="1"/>
  <c r="EC31" i="1"/>
  <c r="DZ31" i="1"/>
  <c r="DW31" i="1"/>
  <c r="DT31" i="1"/>
  <c r="DQ31" i="1"/>
  <c r="CP31" i="1"/>
  <c r="CS31" i="1"/>
  <c r="DF31" i="1"/>
  <c r="CV31" i="1"/>
  <c r="CJ31" i="1"/>
  <c r="CG31" i="1"/>
  <c r="CD31" i="1"/>
  <c r="CA31" i="1"/>
  <c r="BX31" i="1"/>
  <c r="BC31" i="1"/>
  <c r="AZ31" i="1"/>
  <c r="AW31" i="1"/>
  <c r="AT31" i="1"/>
  <c r="AQ31" i="1"/>
  <c r="AN31" i="1"/>
  <c r="AK31" i="1"/>
  <c r="AH31" i="1"/>
  <c r="AE31" i="1"/>
  <c r="S31" i="1"/>
  <c r="K31" i="1"/>
  <c r="AB31" i="1" s="1"/>
  <c r="O31" i="1"/>
  <c r="BF31" i="1" l="1"/>
  <c r="BO31" i="1" s="1"/>
  <c r="EG31" i="1"/>
  <c r="EG28" i="1"/>
  <c r="DB5" i="1"/>
  <c r="DE40" i="1"/>
  <c r="DE19" i="1"/>
  <c r="DB21" i="1"/>
  <c r="CY4" i="1"/>
  <c r="DB25" i="1"/>
  <c r="BI3" i="1"/>
  <c r="BR3" i="1" s="1"/>
  <c r="CY27" i="1"/>
  <c r="DH27" i="1" s="1"/>
  <c r="CY47" i="1"/>
  <c r="BL3" i="1"/>
  <c r="BU3" i="1" s="1"/>
  <c r="EG3" i="1"/>
  <c r="DE46" i="1"/>
  <c r="DN46" i="1" s="1"/>
  <c r="EG17" i="1"/>
  <c r="EG11" i="1"/>
  <c r="DE27" i="1"/>
  <c r="DN27" i="1" s="1"/>
  <c r="T17" i="1"/>
  <c r="T28" i="1"/>
  <c r="BL46" i="1"/>
  <c r="BU46" i="1" s="1"/>
  <c r="BM31" i="1"/>
  <c r="T27" i="1"/>
  <c r="DB3" i="1"/>
  <c r="DK3" i="1" s="1"/>
  <c r="EG6" i="1"/>
  <c r="DE3" i="1"/>
  <c r="DN3" i="1" s="1"/>
  <c r="BL31" i="1"/>
  <c r="BU31" i="1" s="1"/>
  <c r="DB46" i="1"/>
  <c r="DK46" i="1" s="1"/>
  <c r="CY31" i="1"/>
  <c r="DE33" i="1"/>
  <c r="DB47" i="1"/>
  <c r="CY40" i="1"/>
  <c r="T11" i="1"/>
  <c r="EG27" i="1"/>
  <c r="DF27" i="1"/>
  <c r="BI27" i="1"/>
  <c r="BR27" i="1" s="1"/>
  <c r="BI31" i="1"/>
  <c r="BR31" i="1" s="1"/>
  <c r="CY46" i="1"/>
  <c r="DH46" i="1" s="1"/>
  <c r="DB31" i="1"/>
  <c r="DE5" i="1"/>
  <c r="CY5" i="1"/>
  <c r="DB33" i="1"/>
  <c r="DE47" i="1"/>
  <c r="DB40" i="1"/>
  <c r="DE20" i="1"/>
  <c r="CY20" i="1"/>
  <c r="DE26" i="1"/>
  <c r="DE17" i="1"/>
  <c r="DN17" i="1" s="1"/>
  <c r="T6" i="1"/>
  <c r="DI3" i="1"/>
  <c r="T31" i="1"/>
  <c r="DL46" i="1"/>
  <c r="DB26" i="1"/>
  <c r="CY19" i="1"/>
  <c r="DE4" i="1"/>
  <c r="T3" i="1"/>
  <c r="BP3" i="1"/>
  <c r="BL27" i="1"/>
  <c r="BU27" i="1" s="1"/>
  <c r="BS31" i="1"/>
  <c r="DB20" i="1"/>
  <c r="DB19" i="1"/>
  <c r="CY21" i="1"/>
  <c r="DE25" i="1"/>
  <c r="DB17" i="1"/>
  <c r="DK17" i="1" s="1"/>
  <c r="BF3" i="1"/>
  <c r="BO3" i="1" s="1"/>
  <c r="DL3" i="1"/>
  <c r="BT46" i="1"/>
  <c r="BS3" i="1"/>
  <c r="BF27" i="1"/>
  <c r="BO27" i="1" s="1"/>
  <c r="DB27" i="1"/>
  <c r="DK27" i="1" s="1"/>
  <c r="CY33" i="1"/>
  <c r="DJ17" i="1"/>
  <c r="DL27" i="1"/>
  <c r="DJ46" i="1"/>
  <c r="DE31" i="1"/>
  <c r="CY25" i="1"/>
  <c r="CY26" i="1"/>
  <c r="DE21" i="1"/>
  <c r="DB4" i="1"/>
  <c r="DL17" i="1"/>
  <c r="CY3" i="1"/>
  <c r="DH3" i="1" s="1"/>
  <c r="DB6" i="1"/>
  <c r="DK6" i="1" s="1"/>
  <c r="BI46" i="1"/>
  <c r="BR46" i="1" s="1"/>
  <c r="BF46" i="1"/>
  <c r="BM46" i="1"/>
  <c r="EG46" i="1"/>
  <c r="T46" i="1"/>
  <c r="DE28" i="1"/>
  <c r="DN28" i="1" s="1"/>
  <c r="DL28" i="1"/>
  <c r="DK28" i="1"/>
  <c r="BI28" i="1"/>
  <c r="BL28" i="1"/>
  <c r="BU28" i="1" s="1"/>
  <c r="BS28" i="1"/>
  <c r="BQ28" i="1"/>
  <c r="BF28" i="1"/>
  <c r="EI28" i="1" s="1"/>
  <c r="DE6" i="1"/>
  <c r="DN6" i="1" s="1"/>
  <c r="CY6" i="1"/>
  <c r="BL6" i="1"/>
  <c r="BU6" i="1" s="1"/>
  <c r="BI6" i="1"/>
  <c r="BR6" i="1" s="1"/>
  <c r="BF6" i="1"/>
  <c r="BO6" i="1" s="1"/>
  <c r="CY17" i="1"/>
  <c r="BL17" i="1"/>
  <c r="BU17" i="1" s="1"/>
  <c r="BI17" i="1"/>
  <c r="BR17" i="1" s="1"/>
  <c r="BF17" i="1"/>
  <c r="BO17" i="1" s="1"/>
  <c r="DE11" i="1"/>
  <c r="DN11" i="1" s="1"/>
  <c r="DB11" i="1"/>
  <c r="DK11" i="1" s="1"/>
  <c r="CY11" i="1"/>
  <c r="DH11" i="1" s="1"/>
  <c r="BL11" i="1"/>
  <c r="BU11" i="1" s="1"/>
  <c r="BI11" i="1"/>
  <c r="BR11" i="1" s="1"/>
  <c r="BF11" i="1"/>
  <c r="BO11" i="1" s="1"/>
  <c r="DH28" i="1"/>
  <c r="DF28" i="1"/>
  <c r="DG46" i="1"/>
  <c r="EK3" i="1" l="1"/>
  <c r="EI31" i="1"/>
  <c r="EK31" i="1"/>
  <c r="EK27" i="1"/>
  <c r="EH31" i="1"/>
  <c r="EK46" i="1"/>
  <c r="EI46" i="1"/>
  <c r="EJ31" i="1"/>
  <c r="EJ11" i="1"/>
  <c r="DH31" i="1"/>
  <c r="EI6" i="1"/>
  <c r="EJ3" i="1"/>
  <c r="EJ17" i="1"/>
  <c r="EK6" i="1"/>
  <c r="EK11" i="1"/>
  <c r="EH46" i="1"/>
  <c r="EI27" i="1"/>
  <c r="EI11" i="1"/>
  <c r="EK17" i="1"/>
  <c r="EJ6" i="1"/>
  <c r="EH11" i="1"/>
  <c r="EI17" i="1"/>
  <c r="EJ27" i="1"/>
  <c r="EI3" i="1"/>
  <c r="EH3" i="1"/>
  <c r="EH27" i="1"/>
  <c r="EJ46" i="1"/>
  <c r="BO46" i="1"/>
  <c r="EJ28" i="1"/>
  <c r="EK28" i="1"/>
  <c r="BR28" i="1"/>
  <c r="EH28" i="1"/>
  <c r="BO28" i="1"/>
  <c r="EH6" i="1"/>
  <c r="DH6" i="1"/>
  <c r="EH17" i="1"/>
  <c r="DH17" i="1"/>
  <c r="DN31" i="1"/>
  <c r="DK31" i="1"/>
  <c r="EC5" i="1" l="1"/>
  <c r="DZ5" i="1"/>
  <c r="DW5" i="1"/>
  <c r="DT5" i="1"/>
  <c r="DQ5" i="1"/>
  <c r="CP5" i="1"/>
  <c r="CS5" i="1"/>
  <c r="CV5" i="1"/>
  <c r="DJ5" i="1"/>
  <c r="DL5" i="1"/>
  <c r="DF5" i="1"/>
  <c r="DG5" i="1"/>
  <c r="DI5" i="1"/>
  <c r="DM5" i="1"/>
  <c r="CM5" i="1"/>
  <c r="CJ5" i="1"/>
  <c r="CG5" i="1"/>
  <c r="CD5" i="1"/>
  <c r="DN5" i="1" s="1"/>
  <c r="CA5" i="1"/>
  <c r="DK5" i="1" s="1"/>
  <c r="BX5" i="1"/>
  <c r="DH5" i="1" s="1"/>
  <c r="AW5" i="1"/>
  <c r="AZ5" i="1"/>
  <c r="BC5" i="1"/>
  <c r="BD5" i="1"/>
  <c r="BE5" i="1"/>
  <c r="BN5" i="1" s="1"/>
  <c r="BG5" i="1"/>
  <c r="BP5" i="1" s="1"/>
  <c r="BH5" i="1"/>
  <c r="BJ5" i="1"/>
  <c r="BS5" i="1" s="1"/>
  <c r="BK5" i="1"/>
  <c r="AT5" i="1"/>
  <c r="AQ5" i="1"/>
  <c r="AN5" i="1"/>
  <c r="AK5" i="1"/>
  <c r="AH5" i="1"/>
  <c r="AE5" i="1"/>
  <c r="S5" i="1"/>
  <c r="O5" i="1"/>
  <c r="K5" i="1"/>
  <c r="AB5" i="1" s="1"/>
  <c r="BL5" i="1" l="1"/>
  <c r="BU5" i="1" s="1"/>
  <c r="EG5" i="1"/>
  <c r="BT5" i="1"/>
  <c r="BF5" i="1"/>
  <c r="BO5" i="1" s="1"/>
  <c r="T5" i="1"/>
  <c r="BI5" i="1"/>
  <c r="BR5" i="1" s="1"/>
  <c r="BQ5" i="1"/>
  <c r="BM5" i="1"/>
  <c r="EK5" i="1" l="1"/>
  <c r="EJ5" i="1"/>
  <c r="EH5" i="1"/>
  <c r="EI5" i="1"/>
  <c r="EF33" i="1"/>
  <c r="EC33" i="1"/>
  <c r="DZ33" i="1"/>
  <c r="DW33" i="1"/>
  <c r="DT33" i="1"/>
  <c r="DQ33" i="1"/>
  <c r="DF33" i="1"/>
  <c r="DG33" i="1"/>
  <c r="DI33" i="1"/>
  <c r="DJ33" i="1"/>
  <c r="DL33" i="1"/>
  <c r="DM33" i="1"/>
  <c r="CP33" i="1"/>
  <c r="CS33" i="1"/>
  <c r="CV33" i="1"/>
  <c r="CM33" i="1"/>
  <c r="CJ33" i="1"/>
  <c r="CG33" i="1"/>
  <c r="CD33" i="1"/>
  <c r="DN33" i="1" s="1"/>
  <c r="CA33" i="1"/>
  <c r="DK33" i="1" s="1"/>
  <c r="BX33" i="1"/>
  <c r="DH33" i="1" s="1"/>
  <c r="BD33" i="1"/>
  <c r="BM33" i="1" s="1"/>
  <c r="BE33" i="1"/>
  <c r="BN33" i="1" s="1"/>
  <c r="BG33" i="1"/>
  <c r="BP33" i="1" s="1"/>
  <c r="BH33" i="1"/>
  <c r="BJ33" i="1"/>
  <c r="BK33" i="1"/>
  <c r="BT33" i="1" s="1"/>
  <c r="AW33" i="1"/>
  <c r="AZ33" i="1"/>
  <c r="BC33" i="1"/>
  <c r="AT33" i="1"/>
  <c r="AQ33" i="1"/>
  <c r="AN33" i="1"/>
  <c r="AK33" i="1"/>
  <c r="AH33" i="1"/>
  <c r="AE33" i="1"/>
  <c r="S33" i="1"/>
  <c r="O33" i="1"/>
  <c r="K33" i="1"/>
  <c r="AB33" i="1" s="1"/>
  <c r="EF47" i="1"/>
  <c r="EC47" i="1"/>
  <c r="DZ47" i="1"/>
  <c r="DW47" i="1"/>
  <c r="DT47" i="1"/>
  <c r="DQ47" i="1"/>
  <c r="DF47" i="1"/>
  <c r="DG47" i="1"/>
  <c r="CV47" i="1"/>
  <c r="DM47" i="1"/>
  <c r="DL47" i="1"/>
  <c r="CS47" i="1"/>
  <c r="DJ47" i="1"/>
  <c r="DI47" i="1"/>
  <c r="CP47" i="1"/>
  <c r="CM47" i="1"/>
  <c r="CJ47" i="1"/>
  <c r="CG47" i="1"/>
  <c r="CD47" i="1"/>
  <c r="CA47" i="1"/>
  <c r="DK47" i="1" s="1"/>
  <c r="BX47" i="1"/>
  <c r="BC47" i="1"/>
  <c r="BK47" i="1"/>
  <c r="BT47" i="1" s="1"/>
  <c r="BJ47" i="1"/>
  <c r="BS47" i="1" s="1"/>
  <c r="AZ47" i="1"/>
  <c r="BH47" i="1"/>
  <c r="BQ47" i="1" s="1"/>
  <c r="BG47" i="1"/>
  <c r="BP47" i="1" s="1"/>
  <c r="AW47" i="1"/>
  <c r="BE47" i="1"/>
  <c r="BN47" i="1" s="1"/>
  <c r="BD47" i="1"/>
  <c r="BM47" i="1" s="1"/>
  <c r="AT47" i="1"/>
  <c r="AQ47" i="1"/>
  <c r="AN47" i="1"/>
  <c r="AK47" i="1"/>
  <c r="AH47" i="1"/>
  <c r="AE47" i="1"/>
  <c r="S47" i="1"/>
  <c r="O47" i="1"/>
  <c r="K47" i="1"/>
  <c r="AB47" i="1" s="1"/>
  <c r="T47" i="1" l="1"/>
  <c r="BL33" i="1"/>
  <c r="EK33" i="1" s="1"/>
  <c r="BI33" i="1"/>
  <c r="BR33" i="1" s="1"/>
  <c r="BL47" i="1"/>
  <c r="BU47" i="1" s="1"/>
  <c r="T33" i="1"/>
  <c r="BS33" i="1"/>
  <c r="BQ33" i="1"/>
  <c r="EG33" i="1"/>
  <c r="BF47" i="1"/>
  <c r="BO47" i="1" s="1"/>
  <c r="BF33" i="1"/>
  <c r="EG47" i="1"/>
  <c r="DH47" i="1"/>
  <c r="DN47" i="1"/>
  <c r="BI47" i="1"/>
  <c r="BR47" i="1" s="1"/>
  <c r="BU33" i="1" l="1"/>
  <c r="EK47" i="1"/>
  <c r="EJ33" i="1"/>
  <c r="EH47" i="1"/>
  <c r="EI47" i="1"/>
  <c r="EJ47" i="1"/>
  <c r="EI33" i="1"/>
  <c r="BO33" i="1"/>
  <c r="EH33" i="1"/>
  <c r="EF40" i="1"/>
  <c r="EC40" i="1"/>
  <c r="DZ40" i="1"/>
  <c r="DW40" i="1"/>
  <c r="DT40" i="1"/>
  <c r="DQ40" i="1"/>
  <c r="DJ40" i="1"/>
  <c r="DL40" i="1"/>
  <c r="DM40" i="1"/>
  <c r="DF40" i="1"/>
  <c r="DG40" i="1"/>
  <c r="DI40" i="1"/>
  <c r="CP40" i="1"/>
  <c r="CS40" i="1"/>
  <c r="CV40" i="1"/>
  <c r="CM40" i="1"/>
  <c r="CJ40" i="1"/>
  <c r="CG40" i="1"/>
  <c r="CD40" i="1"/>
  <c r="DN40" i="1" s="1"/>
  <c r="CA40" i="1"/>
  <c r="DK40" i="1" s="1"/>
  <c r="BX40" i="1"/>
  <c r="DH40" i="1" s="1"/>
  <c r="BD40" i="1"/>
  <c r="BM40" i="1" s="1"/>
  <c r="BE40" i="1"/>
  <c r="BG40" i="1"/>
  <c r="BH40" i="1"/>
  <c r="BQ40" i="1" s="1"/>
  <c r="BJ40" i="1"/>
  <c r="BK40" i="1"/>
  <c r="BT40" i="1" s="1"/>
  <c r="BC40" i="1"/>
  <c r="AW40" i="1"/>
  <c r="AZ40" i="1"/>
  <c r="AT40" i="1"/>
  <c r="AQ40" i="1"/>
  <c r="AN40" i="1"/>
  <c r="AK40" i="1"/>
  <c r="AH40" i="1"/>
  <c r="AE40" i="1"/>
  <c r="S40" i="1"/>
  <c r="O40" i="1"/>
  <c r="K40" i="1"/>
  <c r="AB40" i="1" s="1"/>
  <c r="BF40" i="1" l="1"/>
  <c r="EI40" i="1" s="1"/>
  <c r="T40" i="1"/>
  <c r="BI40" i="1"/>
  <c r="BR40" i="1" s="1"/>
  <c r="BL40" i="1"/>
  <c r="BU40" i="1" s="1"/>
  <c r="BP40" i="1"/>
  <c r="EG40" i="1"/>
  <c r="BS40" i="1"/>
  <c r="BN40" i="1"/>
  <c r="AW10" i="1"/>
  <c r="AZ10" i="1"/>
  <c r="CA30" i="1"/>
  <c r="CD30" i="1"/>
  <c r="CG30" i="1"/>
  <c r="CJ30" i="1"/>
  <c r="CM30" i="1"/>
  <c r="CA8" i="1"/>
  <c r="CD8" i="1"/>
  <c r="CG8" i="1"/>
  <c r="CJ8" i="1"/>
  <c r="CM8" i="1"/>
  <c r="CP8" i="1"/>
  <c r="CS8" i="1"/>
  <c r="CP10" i="1"/>
  <c r="CS10" i="1"/>
  <c r="EF20" i="1"/>
  <c r="EC20" i="1"/>
  <c r="DZ20" i="1"/>
  <c r="DW20" i="1"/>
  <c r="DT20" i="1"/>
  <c r="DQ20" i="1"/>
  <c r="DF20" i="1"/>
  <c r="DG20" i="1"/>
  <c r="DI20" i="1"/>
  <c r="DJ20" i="1"/>
  <c r="DL20" i="1"/>
  <c r="DM20" i="1"/>
  <c r="CP20" i="1"/>
  <c r="CS20" i="1"/>
  <c r="CV20" i="1"/>
  <c r="CM20" i="1"/>
  <c r="CJ20" i="1"/>
  <c r="CG20" i="1"/>
  <c r="CD20" i="1"/>
  <c r="DN20" i="1" s="1"/>
  <c r="CA20" i="1"/>
  <c r="DK20" i="1" s="1"/>
  <c r="BX20" i="1"/>
  <c r="DH20" i="1" s="1"/>
  <c r="BJ19" i="1"/>
  <c r="BK19" i="1"/>
  <c r="BJ26" i="1"/>
  <c r="BS26" i="1" s="1"/>
  <c r="BK26" i="1"/>
  <c r="BT26" i="1" s="1"/>
  <c r="BJ25" i="1"/>
  <c r="BS25" i="1" s="1"/>
  <c r="BK25" i="1"/>
  <c r="BT25" i="1" s="1"/>
  <c r="BJ20" i="1"/>
  <c r="BS20" i="1" s="1"/>
  <c r="BK20" i="1"/>
  <c r="BT20" i="1" s="1"/>
  <c r="BC20" i="1"/>
  <c r="AZ20" i="1"/>
  <c r="BH20" i="1"/>
  <c r="BQ20" i="1" s="1"/>
  <c r="BG20" i="1"/>
  <c r="BP20" i="1" s="1"/>
  <c r="AW20" i="1"/>
  <c r="BE20" i="1"/>
  <c r="BN20" i="1" s="1"/>
  <c r="BD20" i="1"/>
  <c r="BM20" i="1" s="1"/>
  <c r="AT20" i="1"/>
  <c r="AQ20" i="1"/>
  <c r="AN20" i="1"/>
  <c r="AK20" i="1"/>
  <c r="AH20" i="1"/>
  <c r="AE20" i="1"/>
  <c r="S20" i="1"/>
  <c r="O20" i="1"/>
  <c r="K20" i="1"/>
  <c r="AB20" i="1" s="1"/>
  <c r="EF25" i="1"/>
  <c r="EC25" i="1"/>
  <c r="DZ25" i="1"/>
  <c r="DW25" i="1"/>
  <c r="DT25" i="1"/>
  <c r="DQ25" i="1"/>
  <c r="DI25" i="1"/>
  <c r="DJ25" i="1"/>
  <c r="DL25" i="1"/>
  <c r="DM25" i="1"/>
  <c r="DL26" i="1"/>
  <c r="DM26" i="1"/>
  <c r="DF26" i="1"/>
  <c r="DG26" i="1"/>
  <c r="DF25" i="1"/>
  <c r="DG25" i="1"/>
  <c r="DJ26" i="1"/>
  <c r="CV25" i="1"/>
  <c r="CV26" i="1"/>
  <c r="CS25" i="1"/>
  <c r="CP25" i="1"/>
  <c r="CS26" i="1"/>
  <c r="DI26" i="1"/>
  <c r="CP26" i="1"/>
  <c r="CM25" i="1"/>
  <c r="CJ25" i="1"/>
  <c r="CG25" i="1"/>
  <c r="CD25" i="1"/>
  <c r="DN25" i="1" s="1"/>
  <c r="CA25" i="1"/>
  <c r="DK25" i="1" s="1"/>
  <c r="BX25" i="1"/>
  <c r="DH25" i="1" s="1"/>
  <c r="BD25" i="1"/>
  <c r="BM25" i="1" s="1"/>
  <c r="BE25" i="1"/>
  <c r="BN25" i="1" s="1"/>
  <c r="BG26" i="1"/>
  <c r="BH26" i="1"/>
  <c r="BQ26" i="1" s="1"/>
  <c r="BG25" i="1"/>
  <c r="BP25" i="1" s="1"/>
  <c r="BH25" i="1"/>
  <c r="BQ25" i="1" s="1"/>
  <c r="BC26" i="1"/>
  <c r="AZ25" i="1"/>
  <c r="BC25" i="1"/>
  <c r="AW25" i="1"/>
  <c r="AW26" i="1"/>
  <c r="BE26" i="1"/>
  <c r="BN26" i="1" s="1"/>
  <c r="BD26" i="1"/>
  <c r="BM26" i="1" s="1"/>
  <c r="AT25" i="1"/>
  <c r="AQ25" i="1"/>
  <c r="AN25" i="1"/>
  <c r="AK25" i="1"/>
  <c r="AH25" i="1"/>
  <c r="AE25" i="1"/>
  <c r="K25" i="1"/>
  <c r="AB25" i="1" s="1"/>
  <c r="O25" i="1"/>
  <c r="S25" i="1"/>
  <c r="BO40" i="1" l="1"/>
  <c r="EJ40" i="1"/>
  <c r="EH40" i="1"/>
  <c r="EK40" i="1"/>
  <c r="BL19" i="1"/>
  <c r="EG20" i="1"/>
  <c r="EG25" i="1"/>
  <c r="BF25" i="1"/>
  <c r="BO25" i="1" s="1"/>
  <c r="BL20" i="1"/>
  <c r="BU20" i="1" s="1"/>
  <c r="T20" i="1"/>
  <c r="T25" i="1"/>
  <c r="BI25" i="1"/>
  <c r="BR25" i="1" s="1"/>
  <c r="BL26" i="1"/>
  <c r="BI26" i="1"/>
  <c r="BP26" i="1"/>
  <c r="BL25" i="1"/>
  <c r="BI20" i="1"/>
  <c r="BR20" i="1" s="1"/>
  <c r="BF20" i="1"/>
  <c r="BO20" i="1" s="1"/>
  <c r="BF26" i="1"/>
  <c r="EI25" i="1" l="1"/>
  <c r="EH25" i="1"/>
  <c r="EJ20" i="1"/>
  <c r="EH20" i="1"/>
  <c r="EI20" i="1"/>
  <c r="EJ25" i="1"/>
  <c r="EK20" i="1"/>
  <c r="BU25" i="1"/>
  <c r="EK25" i="1"/>
  <c r="EF26" i="1" l="1"/>
  <c r="EC26" i="1"/>
  <c r="DZ26" i="1"/>
  <c r="DW26" i="1"/>
  <c r="DT26" i="1"/>
  <c r="DQ26" i="1"/>
  <c r="CM26" i="1"/>
  <c r="CJ26" i="1"/>
  <c r="CG26" i="1"/>
  <c r="CD26" i="1"/>
  <c r="DN26" i="1" s="1"/>
  <c r="CA26" i="1"/>
  <c r="DK26" i="1" s="1"/>
  <c r="BX26" i="1"/>
  <c r="DH26" i="1" s="1"/>
  <c r="AT26" i="1"/>
  <c r="AQ26" i="1"/>
  <c r="AN26" i="1"/>
  <c r="AK26" i="1"/>
  <c r="BU26" i="1" s="1"/>
  <c r="AH26" i="1"/>
  <c r="BR26" i="1" s="1"/>
  <c r="AE26" i="1"/>
  <c r="BO26" i="1" s="1"/>
  <c r="S26" i="1"/>
  <c r="EH26" i="1" s="1"/>
  <c r="O26" i="1"/>
  <c r="K26" i="1"/>
  <c r="AB26" i="1" s="1"/>
  <c r="EF19" i="1"/>
  <c r="EC19" i="1"/>
  <c r="DZ19" i="1"/>
  <c r="DW19" i="1"/>
  <c r="DT19" i="1"/>
  <c r="DQ19" i="1"/>
  <c r="DG19" i="1"/>
  <c r="DF19" i="1"/>
  <c r="CV19" i="1"/>
  <c r="DM19" i="1"/>
  <c r="DL19" i="1"/>
  <c r="CS19" i="1"/>
  <c r="DJ19" i="1"/>
  <c r="DI19" i="1"/>
  <c r="CP19" i="1"/>
  <c r="CM19" i="1"/>
  <c r="CJ19" i="1"/>
  <c r="CG19" i="1"/>
  <c r="CD19" i="1"/>
  <c r="CA19" i="1"/>
  <c r="BX19" i="1"/>
  <c r="DH19" i="1" s="1"/>
  <c r="BS19" i="1"/>
  <c r="BT19" i="1"/>
  <c r="BC19" i="1"/>
  <c r="AZ19" i="1"/>
  <c r="BH19" i="1"/>
  <c r="BQ19" i="1" s="1"/>
  <c r="BG19" i="1"/>
  <c r="BP19" i="1" s="1"/>
  <c r="AW19" i="1"/>
  <c r="BE19" i="1"/>
  <c r="BN19" i="1" s="1"/>
  <c r="BD19" i="1"/>
  <c r="BM19" i="1" s="1"/>
  <c r="AT19" i="1"/>
  <c r="AQ19" i="1"/>
  <c r="AN19" i="1"/>
  <c r="AK19" i="1"/>
  <c r="BU19" i="1" s="1"/>
  <c r="AH19" i="1"/>
  <c r="AE19" i="1"/>
  <c r="S19" i="1"/>
  <c r="O19" i="1"/>
  <c r="K19" i="1"/>
  <c r="AB19" i="1" s="1"/>
  <c r="S21" i="1"/>
  <c r="DM21" i="1"/>
  <c r="DL21" i="1"/>
  <c r="DG21" i="1"/>
  <c r="DF21" i="1"/>
  <c r="K21" i="1"/>
  <c r="AB21" i="1" s="1"/>
  <c r="EF21" i="1"/>
  <c r="EC21" i="1"/>
  <c r="DZ21" i="1"/>
  <c r="DW21" i="1"/>
  <c r="DT21" i="1"/>
  <c r="DQ21" i="1"/>
  <c r="CV21" i="1"/>
  <c r="CS21" i="1"/>
  <c r="DJ21" i="1"/>
  <c r="DI21" i="1"/>
  <c r="CP21" i="1"/>
  <c r="CM21" i="1"/>
  <c r="CJ21" i="1"/>
  <c r="CG21" i="1"/>
  <c r="DN21" i="1"/>
  <c r="CA21" i="1"/>
  <c r="BX21" i="1"/>
  <c r="DH21" i="1" s="1"/>
  <c r="BC21" i="1"/>
  <c r="BK21" i="1"/>
  <c r="BT21" i="1" s="1"/>
  <c r="BJ21" i="1"/>
  <c r="BS21" i="1" s="1"/>
  <c r="AZ21" i="1"/>
  <c r="BH21" i="1"/>
  <c r="BQ21" i="1" s="1"/>
  <c r="BG21" i="1"/>
  <c r="BP21" i="1" s="1"/>
  <c r="AW21" i="1"/>
  <c r="BE21" i="1"/>
  <c r="BN21" i="1" s="1"/>
  <c r="BD21" i="1"/>
  <c r="BM21" i="1" s="1"/>
  <c r="AT21" i="1"/>
  <c r="AQ21" i="1"/>
  <c r="AN21" i="1"/>
  <c r="AK21" i="1"/>
  <c r="AH21" i="1"/>
  <c r="AE21" i="1"/>
  <c r="O21" i="1"/>
  <c r="EF4" i="1"/>
  <c r="EC4" i="1"/>
  <c r="DZ4" i="1"/>
  <c r="DW4" i="1"/>
  <c r="DT4" i="1"/>
  <c r="DQ4" i="1"/>
  <c r="DJ4" i="1"/>
  <c r="DM4" i="1"/>
  <c r="DF4" i="1"/>
  <c r="DL4" i="1"/>
  <c r="CV4" i="1"/>
  <c r="CS4" i="1"/>
  <c r="CP4" i="1"/>
  <c r="CM4" i="1"/>
  <c r="CJ4" i="1"/>
  <c r="CG4" i="1"/>
  <c r="CD4" i="1"/>
  <c r="DN4" i="1" s="1"/>
  <c r="CA4" i="1"/>
  <c r="DK4" i="1" s="1"/>
  <c r="BX4" i="1"/>
  <c r="BC4" i="1"/>
  <c r="BK4" i="1"/>
  <c r="BT4" i="1" s="1"/>
  <c r="BJ4" i="1"/>
  <c r="BS4" i="1" s="1"/>
  <c r="AZ4" i="1"/>
  <c r="BH4" i="1"/>
  <c r="BQ4" i="1" s="1"/>
  <c r="BG4" i="1"/>
  <c r="BP4" i="1" s="1"/>
  <c r="AW4" i="1"/>
  <c r="BE4" i="1"/>
  <c r="BN4" i="1" s="1"/>
  <c r="BD4" i="1"/>
  <c r="BM4" i="1" s="1"/>
  <c r="AT4" i="1"/>
  <c r="AQ4" i="1"/>
  <c r="AN4" i="1"/>
  <c r="AK4" i="1"/>
  <c r="AH4" i="1"/>
  <c r="AE4" i="1"/>
  <c r="S4" i="1"/>
  <c r="O4" i="1"/>
  <c r="K4" i="1"/>
  <c r="AB4" i="1" s="1"/>
  <c r="T4" i="1" l="1"/>
  <c r="EG19" i="1"/>
  <c r="BI19" i="1"/>
  <c r="BR19" i="1" s="1"/>
  <c r="T19" i="1"/>
  <c r="EG26" i="1"/>
  <c r="EK26" i="1"/>
  <c r="EK19" i="1"/>
  <c r="DH4" i="1"/>
  <c r="EG4" i="1"/>
  <c r="EG21" i="1"/>
  <c r="EJ26" i="1"/>
  <c r="EI26" i="1"/>
  <c r="T26" i="1"/>
  <c r="DN19" i="1"/>
  <c r="BF19" i="1"/>
  <c r="EH19" i="1" s="1"/>
  <c r="BL21" i="1"/>
  <c r="BU21" i="1" s="1"/>
  <c r="BI21" i="1"/>
  <c r="BR21" i="1" s="1"/>
  <c r="BF21" i="1"/>
  <c r="T21" i="1"/>
  <c r="DK21" i="1"/>
  <c r="DG4" i="1"/>
  <c r="DI4" i="1"/>
  <c r="BL4" i="1"/>
  <c r="BU4" i="1" s="1"/>
  <c r="BI4" i="1"/>
  <c r="BR4" i="1" s="1"/>
  <c r="BF4" i="1"/>
  <c r="BO4" i="1" s="1"/>
  <c r="EK4" i="1" l="1"/>
  <c r="EI4" i="1"/>
  <c r="EH4" i="1"/>
  <c r="BO19" i="1"/>
  <c r="EI19" i="1"/>
  <c r="EJ4" i="1"/>
  <c r="DK19" i="1"/>
  <c r="EJ19" i="1"/>
  <c r="EK21" i="1"/>
  <c r="EJ21" i="1"/>
  <c r="BO21" i="1"/>
  <c r="EI21" i="1"/>
  <c r="EH21" i="1"/>
  <c r="K7" i="1"/>
  <c r="AB7" i="1" s="1"/>
  <c r="O7" i="1"/>
  <c r="S7" i="1"/>
  <c r="AE7" i="1"/>
  <c r="AH7" i="1"/>
  <c r="AK7" i="1"/>
  <c r="AN7" i="1"/>
  <c r="AQ7" i="1"/>
  <c r="AT7" i="1"/>
  <c r="AW7" i="1"/>
  <c r="AZ7" i="1"/>
  <c r="BC7" i="1"/>
  <c r="BD7" i="1"/>
  <c r="BE7" i="1"/>
  <c r="BN7" i="1" s="1"/>
  <c r="BG7" i="1"/>
  <c r="BP7" i="1" s="1"/>
  <c r="BH7" i="1"/>
  <c r="BJ7" i="1"/>
  <c r="BS7" i="1" s="1"/>
  <c r="BK7" i="1"/>
  <c r="BT7" i="1" s="1"/>
  <c r="BX7" i="1"/>
  <c r="CA7" i="1"/>
  <c r="CD7" i="1"/>
  <c r="CG7" i="1"/>
  <c r="CJ7" i="1"/>
  <c r="CM7" i="1"/>
  <c r="CP7" i="1"/>
  <c r="CS7" i="1"/>
  <c r="CV7" i="1"/>
  <c r="CW7" i="1"/>
  <c r="DF7" i="1" s="1"/>
  <c r="CX7" i="1"/>
  <c r="CZ7" i="1"/>
  <c r="DI7" i="1" s="1"/>
  <c r="DA7" i="1"/>
  <c r="DJ7" i="1" s="1"/>
  <c r="DC7" i="1"/>
  <c r="DL7" i="1" s="1"/>
  <c r="DD7" i="1"/>
  <c r="DM7" i="1" s="1"/>
  <c r="DQ7" i="1"/>
  <c r="DT7" i="1"/>
  <c r="DW7" i="1"/>
  <c r="DZ7" i="1"/>
  <c r="EC7" i="1"/>
  <c r="EF7" i="1"/>
  <c r="DE7" i="1" l="1"/>
  <c r="DN7" i="1" s="1"/>
  <c r="BI7" i="1"/>
  <c r="BR7" i="1" s="1"/>
  <c r="CY7" i="1"/>
  <c r="DH7" i="1" s="1"/>
  <c r="DB7" i="1"/>
  <c r="DK7" i="1" s="1"/>
  <c r="BL7" i="1"/>
  <c r="BQ7" i="1"/>
  <c r="BF7" i="1"/>
  <c r="BM7" i="1"/>
  <c r="T7" i="1"/>
  <c r="EG7" i="1"/>
  <c r="DG7" i="1"/>
  <c r="EK7" i="1" l="1"/>
  <c r="EJ7" i="1"/>
  <c r="EH7" i="1"/>
  <c r="BU7" i="1"/>
  <c r="EI7" i="1"/>
  <c r="BO7" i="1"/>
  <c r="EF29" i="1" l="1"/>
  <c r="EC29" i="1"/>
  <c r="DZ29" i="1"/>
  <c r="DW29" i="1"/>
  <c r="DT29" i="1"/>
  <c r="DQ30" i="1"/>
  <c r="DQ29" i="1"/>
  <c r="CW29" i="1"/>
  <c r="DF29" i="1" s="1"/>
  <c r="CX29" i="1"/>
  <c r="DG29" i="1" s="1"/>
  <c r="CZ29" i="1"/>
  <c r="DI29" i="1" s="1"/>
  <c r="DA29" i="1"/>
  <c r="DC29" i="1"/>
  <c r="DD29" i="1"/>
  <c r="DM29" i="1" s="1"/>
  <c r="CV29" i="1"/>
  <c r="CS29" i="1"/>
  <c r="CS14" i="1"/>
  <c r="CS37" i="1"/>
  <c r="CS41" i="1"/>
  <c r="CS45" i="1"/>
  <c r="CS44" i="1"/>
  <c r="CS38" i="1"/>
  <c r="CS15" i="1"/>
  <c r="CS35" i="1"/>
  <c r="CP29" i="1"/>
  <c r="CM29" i="1"/>
  <c r="CJ29" i="1"/>
  <c r="CG29" i="1"/>
  <c r="CD29" i="1"/>
  <c r="CA29" i="1"/>
  <c r="BX29" i="1"/>
  <c r="BC29" i="1"/>
  <c r="BK29" i="1"/>
  <c r="BT29" i="1" s="1"/>
  <c r="BJ29" i="1"/>
  <c r="BS29" i="1" s="1"/>
  <c r="AZ29" i="1"/>
  <c r="BH29" i="1"/>
  <c r="BQ29" i="1" s="1"/>
  <c r="BG29" i="1"/>
  <c r="BP29" i="1" s="1"/>
  <c r="AW29" i="1"/>
  <c r="BE29" i="1"/>
  <c r="BN29" i="1" s="1"/>
  <c r="BD29" i="1"/>
  <c r="BM29" i="1" s="1"/>
  <c r="AT29" i="1"/>
  <c r="AQ29" i="1"/>
  <c r="AN29" i="1"/>
  <c r="AK29" i="1"/>
  <c r="AH29" i="1"/>
  <c r="AE29" i="1"/>
  <c r="S29" i="1"/>
  <c r="O29" i="1"/>
  <c r="K29" i="1"/>
  <c r="AB29" i="1" s="1"/>
  <c r="EG29" i="1" l="1"/>
  <c r="DB29" i="1"/>
  <c r="DK29" i="1" s="1"/>
  <c r="DE29" i="1"/>
  <c r="DN29" i="1" s="1"/>
  <c r="T29" i="1"/>
  <c r="DL29" i="1"/>
  <c r="BI29" i="1"/>
  <c r="BR29" i="1" s="1"/>
  <c r="CY29" i="1"/>
  <c r="DH29" i="1" s="1"/>
  <c r="DJ29" i="1"/>
  <c r="BL29" i="1"/>
  <c r="BU29" i="1" s="1"/>
  <c r="BF29" i="1"/>
  <c r="BO29" i="1" s="1"/>
  <c r="EH29" i="1" l="1"/>
  <c r="EK29" i="1"/>
  <c r="EJ29" i="1"/>
  <c r="EF35" i="1"/>
  <c r="EC35" i="1"/>
  <c r="DZ35" i="1"/>
  <c r="DW35" i="1"/>
  <c r="DT35" i="1"/>
  <c r="DQ35" i="1"/>
  <c r="CW35" i="1"/>
  <c r="DF35" i="1" s="1"/>
  <c r="CX35" i="1"/>
  <c r="CZ35" i="1"/>
  <c r="DI35" i="1" s="1"/>
  <c r="DA35" i="1"/>
  <c r="DJ35" i="1" s="1"/>
  <c r="CV35" i="1"/>
  <c r="DD35" i="1"/>
  <c r="DM35" i="1" s="1"/>
  <c r="DC35" i="1"/>
  <c r="DL35" i="1" s="1"/>
  <c r="CP35" i="1"/>
  <c r="CM35" i="1"/>
  <c r="CJ35" i="1"/>
  <c r="CG35" i="1"/>
  <c r="CD35" i="1"/>
  <c r="CA35" i="1"/>
  <c r="BX35" i="1"/>
  <c r="BG35" i="1"/>
  <c r="BP35" i="1" s="1"/>
  <c r="BH35" i="1"/>
  <c r="BC35" i="1"/>
  <c r="BK35" i="1"/>
  <c r="BT35" i="1" s="1"/>
  <c r="BJ35" i="1"/>
  <c r="BS35" i="1" s="1"/>
  <c r="AZ35" i="1"/>
  <c r="AW35" i="1"/>
  <c r="BE35" i="1"/>
  <c r="BN35" i="1" s="1"/>
  <c r="BD35" i="1"/>
  <c r="BM35" i="1" s="1"/>
  <c r="AT35" i="1"/>
  <c r="AQ35" i="1"/>
  <c r="AN35" i="1"/>
  <c r="AK35" i="1"/>
  <c r="AH35" i="1"/>
  <c r="AE35" i="1"/>
  <c r="S35" i="1"/>
  <c r="O35" i="1"/>
  <c r="K35" i="1"/>
  <c r="AB35" i="1" s="1"/>
  <c r="EF15" i="1"/>
  <c r="EC15" i="1"/>
  <c r="DZ15" i="1"/>
  <c r="DW15" i="1"/>
  <c r="DT15" i="1"/>
  <c r="DQ15" i="1"/>
  <c r="CW15" i="1"/>
  <c r="DF15" i="1" s="1"/>
  <c r="CX15" i="1"/>
  <c r="CZ15" i="1"/>
  <c r="DI15" i="1" s="1"/>
  <c r="DA15" i="1"/>
  <c r="DJ15" i="1" s="1"/>
  <c r="DC15" i="1"/>
  <c r="DD15" i="1"/>
  <c r="DM15" i="1" s="1"/>
  <c r="CV15" i="1"/>
  <c r="CP15" i="1"/>
  <c r="CM15" i="1"/>
  <c r="CJ15" i="1"/>
  <c r="CG15" i="1"/>
  <c r="CD15" i="1"/>
  <c r="CA15" i="1"/>
  <c r="BX15" i="1"/>
  <c r="BG15" i="1"/>
  <c r="BP15" i="1" s="1"/>
  <c r="BH15" i="1"/>
  <c r="BQ15" i="1" s="1"/>
  <c r="BC15" i="1"/>
  <c r="BK15" i="1"/>
  <c r="BT15" i="1" s="1"/>
  <c r="BJ15" i="1"/>
  <c r="BS15" i="1" s="1"/>
  <c r="AZ15" i="1"/>
  <c r="AW15" i="1"/>
  <c r="BE15" i="1"/>
  <c r="BN15" i="1" s="1"/>
  <c r="BD15" i="1"/>
  <c r="BM15" i="1" s="1"/>
  <c r="AT15" i="1"/>
  <c r="AQ15" i="1"/>
  <c r="AN15" i="1"/>
  <c r="AH15" i="1"/>
  <c r="AE15" i="1"/>
  <c r="S15" i="1"/>
  <c r="O15" i="1"/>
  <c r="K15" i="1"/>
  <c r="AB15" i="1" s="1"/>
  <c r="DW38" i="1"/>
  <c r="DT38" i="1"/>
  <c r="DQ38" i="1"/>
  <c r="CZ38" i="1"/>
  <c r="DI38" i="1" s="1"/>
  <c r="DA38" i="1"/>
  <c r="DJ38" i="1" s="1"/>
  <c r="DC38" i="1"/>
  <c r="DL38" i="1" s="1"/>
  <c r="DD38" i="1"/>
  <c r="DM38" i="1" s="1"/>
  <c r="CV38" i="1"/>
  <c r="CP38" i="1"/>
  <c r="CM38" i="1"/>
  <c r="CJ38" i="1"/>
  <c r="CG38" i="1"/>
  <c r="CX38" i="1"/>
  <c r="DG38" i="1" s="1"/>
  <c r="CW38" i="1"/>
  <c r="DF38" i="1" s="1"/>
  <c r="CD38" i="1"/>
  <c r="CA38" i="1"/>
  <c r="BX38" i="1"/>
  <c r="BC38" i="1"/>
  <c r="BK38" i="1"/>
  <c r="BT38" i="1" s="1"/>
  <c r="BJ38" i="1"/>
  <c r="BS38" i="1" s="1"/>
  <c r="AZ38" i="1"/>
  <c r="AW38" i="1"/>
  <c r="BE38" i="1"/>
  <c r="BN38" i="1" s="1"/>
  <c r="BD38" i="1"/>
  <c r="BM38" i="1" s="1"/>
  <c r="AT38" i="1"/>
  <c r="AQ38" i="1"/>
  <c r="BH38" i="1"/>
  <c r="BQ38" i="1" s="1"/>
  <c r="BG38" i="1"/>
  <c r="AN38" i="1"/>
  <c r="AH38" i="1"/>
  <c r="AE38" i="1"/>
  <c r="S38" i="1"/>
  <c r="O38" i="1"/>
  <c r="K38" i="1"/>
  <c r="AB38" i="1" s="1"/>
  <c r="EF38" i="1"/>
  <c r="EC38" i="1"/>
  <c r="DZ38" i="1"/>
  <c r="DE15" i="1" l="1"/>
  <c r="DN15" i="1" s="1"/>
  <c r="DB38" i="1"/>
  <c r="DK38" i="1" s="1"/>
  <c r="DB15" i="1"/>
  <c r="DK15" i="1" s="1"/>
  <c r="T38" i="1"/>
  <c r="EG38" i="1"/>
  <c r="CY15" i="1"/>
  <c r="DH15" i="1" s="1"/>
  <c r="BI35" i="1"/>
  <c r="BR35" i="1" s="1"/>
  <c r="CY35" i="1"/>
  <c r="DH35" i="1" s="1"/>
  <c r="EG35" i="1"/>
  <c r="DB35" i="1"/>
  <c r="DK35" i="1" s="1"/>
  <c r="DE38" i="1"/>
  <c r="DN38" i="1" s="1"/>
  <c r="T15" i="1"/>
  <c r="BI15" i="1"/>
  <c r="BR15" i="1" s="1"/>
  <c r="T35" i="1"/>
  <c r="DL15" i="1"/>
  <c r="BQ35" i="1"/>
  <c r="EG15" i="1"/>
  <c r="DG35" i="1"/>
  <c r="DG15" i="1"/>
  <c r="DE35" i="1"/>
  <c r="DN35" i="1" s="1"/>
  <c r="BL35" i="1"/>
  <c r="BU35" i="1" s="1"/>
  <c r="BF35" i="1"/>
  <c r="BO35" i="1" s="1"/>
  <c r="BL15" i="1"/>
  <c r="BF15" i="1"/>
  <c r="BO15" i="1" s="1"/>
  <c r="CY38" i="1"/>
  <c r="BL38" i="1"/>
  <c r="BI38" i="1"/>
  <c r="BR38" i="1" s="1"/>
  <c r="BP38" i="1"/>
  <c r="BF38" i="1"/>
  <c r="BO38" i="1" s="1"/>
  <c r="EK15" i="1" l="1"/>
  <c r="EJ35" i="1"/>
  <c r="EI38" i="1"/>
  <c r="EK35" i="1"/>
  <c r="EJ38" i="1"/>
  <c r="EH38" i="1"/>
  <c r="EK38" i="1"/>
  <c r="EH15" i="1"/>
  <c r="EI15" i="1"/>
  <c r="EJ15" i="1"/>
  <c r="EI35" i="1"/>
  <c r="EH35" i="1"/>
  <c r="DH38" i="1"/>
  <c r="EF44" i="1" l="1"/>
  <c r="EF45" i="1"/>
  <c r="EF41" i="1"/>
  <c r="EF37" i="1"/>
  <c r="EF30" i="1"/>
  <c r="EF24" i="1"/>
  <c r="EF12" i="1"/>
  <c r="EF23" i="1"/>
  <c r="EF22" i="1"/>
  <c r="EF16" i="1"/>
  <c r="EF18" i="1"/>
  <c r="EF10" i="1"/>
  <c r="EF8" i="1"/>
  <c r="EF36" i="1"/>
  <c r="EC44" i="1"/>
  <c r="EC45" i="1"/>
  <c r="EC41" i="1"/>
  <c r="EC37" i="1"/>
  <c r="EC30" i="1"/>
  <c r="EC24" i="1"/>
  <c r="EC12" i="1"/>
  <c r="EC23" i="1"/>
  <c r="EC22" i="1"/>
  <c r="EC16" i="1"/>
  <c r="EC18" i="1"/>
  <c r="EC10" i="1"/>
  <c r="EC8" i="1"/>
  <c r="EC36" i="1"/>
  <c r="DZ44" i="1"/>
  <c r="DZ45" i="1"/>
  <c r="DZ41" i="1"/>
  <c r="DZ37" i="1"/>
  <c r="DZ30" i="1"/>
  <c r="DZ24" i="1"/>
  <c r="DZ12" i="1"/>
  <c r="DZ23" i="1"/>
  <c r="DZ22" i="1"/>
  <c r="DZ16" i="1"/>
  <c r="DZ18" i="1"/>
  <c r="DZ10" i="1"/>
  <c r="DZ8" i="1"/>
  <c r="DZ36" i="1"/>
  <c r="DW44" i="1"/>
  <c r="DW45" i="1"/>
  <c r="DW41" i="1"/>
  <c r="DW37" i="1"/>
  <c r="DW30" i="1"/>
  <c r="DW24" i="1"/>
  <c r="DW12" i="1"/>
  <c r="DW23" i="1"/>
  <c r="DW22" i="1"/>
  <c r="DW16" i="1"/>
  <c r="DW18" i="1"/>
  <c r="DW10" i="1"/>
  <c r="DW8" i="1"/>
  <c r="DW36" i="1"/>
  <c r="DT44" i="1"/>
  <c r="DT45" i="1"/>
  <c r="DT41" i="1"/>
  <c r="DT37" i="1"/>
  <c r="DT30" i="1"/>
  <c r="DT24" i="1"/>
  <c r="DT12" i="1"/>
  <c r="DT23" i="1"/>
  <c r="DT22" i="1"/>
  <c r="DT16" i="1"/>
  <c r="DT18" i="1"/>
  <c r="DT10" i="1"/>
  <c r="DT8" i="1"/>
  <c r="DT36" i="1"/>
  <c r="DQ44" i="1"/>
  <c r="DQ45" i="1"/>
  <c r="DQ41" i="1"/>
  <c r="DQ37" i="1"/>
  <c r="DQ24" i="1"/>
  <c r="DQ12" i="1"/>
  <c r="DQ23" i="1"/>
  <c r="DQ22" i="1"/>
  <c r="DQ16" i="1"/>
  <c r="DQ18" i="1"/>
  <c r="DQ10" i="1"/>
  <c r="DQ8" i="1"/>
  <c r="DQ36" i="1"/>
  <c r="CV44" i="1"/>
  <c r="CV45" i="1"/>
  <c r="CV41" i="1"/>
  <c r="CV37" i="1"/>
  <c r="CV14" i="1"/>
  <c r="CV30" i="1"/>
  <c r="CV24" i="1"/>
  <c r="CV12" i="1"/>
  <c r="CV23" i="1"/>
  <c r="CV22" i="1"/>
  <c r="CV16" i="1"/>
  <c r="CV18" i="1"/>
  <c r="CV10" i="1"/>
  <c r="CV8" i="1"/>
  <c r="CV36" i="1"/>
  <c r="CS30" i="1"/>
  <c r="CS24" i="1"/>
  <c r="CS12" i="1"/>
  <c r="CS23" i="1"/>
  <c r="CS22" i="1"/>
  <c r="CS16" i="1"/>
  <c r="CS18" i="1"/>
  <c r="CS36" i="1"/>
  <c r="CP44" i="1"/>
  <c r="CP45" i="1"/>
  <c r="CP41" i="1"/>
  <c r="CP37" i="1"/>
  <c r="CP14" i="1"/>
  <c r="CP30" i="1"/>
  <c r="CP24" i="1"/>
  <c r="CP12" i="1"/>
  <c r="CP23" i="1"/>
  <c r="CP22" i="1"/>
  <c r="CP16" i="1"/>
  <c r="CP18" i="1"/>
  <c r="CP36" i="1"/>
  <c r="CM44" i="1"/>
  <c r="CM45" i="1"/>
  <c r="CM41" i="1"/>
  <c r="CM37" i="1"/>
  <c r="CM14" i="1"/>
  <c r="CM24" i="1"/>
  <c r="CM12" i="1"/>
  <c r="CM23" i="1"/>
  <c r="CM22" i="1"/>
  <c r="CM16" i="1"/>
  <c r="CM18" i="1"/>
  <c r="CM10" i="1"/>
  <c r="CM36" i="1"/>
  <c r="CJ44" i="1"/>
  <c r="CJ45" i="1"/>
  <c r="CJ41" i="1"/>
  <c r="CJ37" i="1"/>
  <c r="CJ14" i="1"/>
  <c r="CJ24" i="1"/>
  <c r="CJ23" i="1"/>
  <c r="CJ22" i="1"/>
  <c r="CJ16" i="1"/>
  <c r="CJ18" i="1"/>
  <c r="CJ10" i="1"/>
  <c r="CJ36" i="1"/>
  <c r="CG44" i="1"/>
  <c r="CG45" i="1"/>
  <c r="CG41" i="1"/>
  <c r="CG37" i="1"/>
  <c r="CG14" i="1"/>
  <c r="CG24" i="1"/>
  <c r="CG23" i="1"/>
  <c r="CG22" i="1"/>
  <c r="CG16" i="1"/>
  <c r="CG18" i="1"/>
  <c r="CG10" i="1"/>
  <c r="CG36" i="1"/>
  <c r="CD44" i="1"/>
  <c r="CD45" i="1"/>
  <c r="CD41" i="1"/>
  <c r="CD37" i="1"/>
  <c r="CD14" i="1"/>
  <c r="CD24" i="1"/>
  <c r="CD12" i="1"/>
  <c r="CD23" i="1"/>
  <c r="CD22" i="1"/>
  <c r="CD16" i="1"/>
  <c r="CD18" i="1"/>
  <c r="CD10" i="1"/>
  <c r="CD36" i="1"/>
  <c r="CA36" i="1"/>
  <c r="CA10" i="1"/>
  <c r="CA18" i="1"/>
  <c r="CA16" i="1"/>
  <c r="CA22" i="1"/>
  <c r="CA23" i="1"/>
  <c r="CA24" i="1"/>
  <c r="CA14" i="1"/>
  <c r="CA37" i="1"/>
  <c r="CA41" i="1"/>
  <c r="CA45" i="1"/>
  <c r="CA44" i="1"/>
  <c r="BX36" i="1"/>
  <c r="BX8" i="1"/>
  <c r="BX10" i="1"/>
  <c r="BX18" i="1"/>
  <c r="BX16" i="1"/>
  <c r="BX22" i="1"/>
  <c r="BX23" i="1"/>
  <c r="BX12" i="1"/>
  <c r="BX24" i="1"/>
  <c r="BX30" i="1"/>
  <c r="BX14" i="1"/>
  <c r="BX37" i="1"/>
  <c r="BX41" i="1"/>
  <c r="BX45" i="1"/>
  <c r="BX44" i="1"/>
  <c r="BC36" i="1"/>
  <c r="BC8" i="1"/>
  <c r="BC10" i="1"/>
  <c r="BC18" i="1"/>
  <c r="BC16" i="1"/>
  <c r="BC22" i="1"/>
  <c r="BC23" i="1"/>
  <c r="BC12" i="1"/>
  <c r="BC24" i="1"/>
  <c r="BC30" i="1"/>
  <c r="BC14" i="1"/>
  <c r="BC37" i="1"/>
  <c r="BC41" i="1"/>
  <c r="BC45" i="1"/>
  <c r="BC44" i="1"/>
  <c r="AZ36" i="1"/>
  <c r="AZ8" i="1"/>
  <c r="AZ18" i="1"/>
  <c r="AZ16" i="1"/>
  <c r="AZ22" i="1"/>
  <c r="AZ23" i="1"/>
  <c r="AZ12" i="1"/>
  <c r="AZ24" i="1"/>
  <c r="AZ30" i="1"/>
  <c r="AZ14" i="1"/>
  <c r="AZ37" i="1"/>
  <c r="AZ41" i="1"/>
  <c r="AZ45" i="1"/>
  <c r="AZ44" i="1"/>
  <c r="AW36" i="1"/>
  <c r="AW8" i="1"/>
  <c r="AW18" i="1"/>
  <c r="AW16" i="1"/>
  <c r="AW22" i="1"/>
  <c r="AW23" i="1"/>
  <c r="AW12" i="1"/>
  <c r="AW24" i="1"/>
  <c r="AW30" i="1"/>
  <c r="AW14" i="1"/>
  <c r="AW37" i="1"/>
  <c r="AW41" i="1"/>
  <c r="AW45" i="1"/>
  <c r="AW44" i="1"/>
  <c r="AT36" i="1"/>
  <c r="AT8" i="1"/>
  <c r="AT10" i="1"/>
  <c r="AT18" i="1"/>
  <c r="AT16" i="1"/>
  <c r="AT22" i="1"/>
  <c r="AT23" i="1"/>
  <c r="AT12" i="1"/>
  <c r="AT24" i="1"/>
  <c r="AT30" i="1"/>
  <c r="AT14" i="1"/>
  <c r="AT37" i="1"/>
  <c r="AT41" i="1"/>
  <c r="AT45" i="1"/>
  <c r="AT44" i="1"/>
  <c r="AQ36" i="1"/>
  <c r="AQ8" i="1"/>
  <c r="AQ10" i="1"/>
  <c r="AQ18" i="1"/>
  <c r="AQ16" i="1"/>
  <c r="AQ22" i="1"/>
  <c r="AQ23" i="1"/>
  <c r="AQ12" i="1"/>
  <c r="AQ24" i="1"/>
  <c r="AQ30" i="1"/>
  <c r="AQ14" i="1"/>
  <c r="AQ37" i="1"/>
  <c r="AQ41" i="1"/>
  <c r="AQ45" i="1"/>
  <c r="AQ44" i="1"/>
  <c r="AN36" i="1"/>
  <c r="AN8" i="1"/>
  <c r="AN10" i="1"/>
  <c r="AN18" i="1"/>
  <c r="AN16" i="1"/>
  <c r="AN22" i="1"/>
  <c r="AN23" i="1"/>
  <c r="AN12" i="1"/>
  <c r="AN24" i="1"/>
  <c r="AN30" i="1"/>
  <c r="AN14" i="1"/>
  <c r="AN37" i="1"/>
  <c r="AN41" i="1"/>
  <c r="AN45" i="1"/>
  <c r="AN44" i="1"/>
  <c r="AK36" i="1"/>
  <c r="AK8" i="1"/>
  <c r="AK10" i="1"/>
  <c r="AK18" i="1"/>
  <c r="AK16" i="1"/>
  <c r="AK22" i="1"/>
  <c r="AK23" i="1"/>
  <c r="AK12" i="1"/>
  <c r="AK24" i="1"/>
  <c r="AK30" i="1"/>
  <c r="AK14" i="1"/>
  <c r="AK37" i="1"/>
  <c r="AK41" i="1"/>
  <c r="AK45" i="1"/>
  <c r="AK44" i="1"/>
  <c r="AK38" i="1"/>
  <c r="BU38" i="1" s="1"/>
  <c r="AK15" i="1"/>
  <c r="BU15" i="1" s="1"/>
  <c r="AH36" i="1"/>
  <c r="AH8" i="1"/>
  <c r="AH10" i="1"/>
  <c r="AH18" i="1"/>
  <c r="AH16" i="1"/>
  <c r="AH22" i="1"/>
  <c r="AH23" i="1"/>
  <c r="AH12" i="1"/>
  <c r="AH24" i="1"/>
  <c r="AH30" i="1"/>
  <c r="AH14" i="1"/>
  <c r="AH37" i="1"/>
  <c r="AH41" i="1"/>
  <c r="AH45" i="1"/>
  <c r="AH44" i="1"/>
  <c r="AE36" i="1"/>
  <c r="AE8" i="1"/>
  <c r="AE10" i="1"/>
  <c r="AE18" i="1"/>
  <c r="AE16" i="1"/>
  <c r="AE22" i="1"/>
  <c r="AE23" i="1"/>
  <c r="AE12" i="1"/>
  <c r="AE24" i="1"/>
  <c r="AE30" i="1"/>
  <c r="AE14" i="1"/>
  <c r="AE37" i="1"/>
  <c r="AE41" i="1"/>
  <c r="AE45" i="1"/>
  <c r="AE44" i="1"/>
  <c r="O36" i="1"/>
  <c r="O8" i="1"/>
  <c r="O10" i="1"/>
  <c r="O18" i="1"/>
  <c r="O16" i="1"/>
  <c r="O22" i="1"/>
  <c r="O23" i="1"/>
  <c r="O12" i="1"/>
  <c r="O24" i="1"/>
  <c r="O30" i="1"/>
  <c r="O14" i="1"/>
  <c r="O37" i="1"/>
  <c r="O41" i="1"/>
  <c r="O45" i="1"/>
  <c r="O44" i="1"/>
  <c r="S12" i="1"/>
  <c r="S24" i="1"/>
  <c r="S30" i="1"/>
  <c r="S14" i="1"/>
  <c r="S37" i="1"/>
  <c r="S41" i="1"/>
  <c r="S45" i="1"/>
  <c r="S44" i="1"/>
  <c r="S18" i="1"/>
  <c r="S16" i="1"/>
  <c r="S22" i="1"/>
  <c r="S23" i="1"/>
  <c r="S36" i="1"/>
  <c r="S8" i="1"/>
  <c r="S10" i="1"/>
  <c r="K44" i="1"/>
  <c r="AB44" i="1" s="1"/>
  <c r="K41" i="1"/>
  <c r="AB41" i="1" s="1"/>
  <c r="K45" i="1"/>
  <c r="AB45" i="1" s="1"/>
  <c r="K30" i="1"/>
  <c r="AB30" i="1" s="1"/>
  <c r="K14" i="1"/>
  <c r="AB14" i="1" s="1"/>
  <c r="K37" i="1"/>
  <c r="AB37" i="1" s="1"/>
  <c r="K23" i="1"/>
  <c r="AB23" i="1" s="1"/>
  <c r="K12" i="1"/>
  <c r="AB12" i="1" s="1"/>
  <c r="K24" i="1"/>
  <c r="AB24" i="1" s="1"/>
  <c r="K22" i="1"/>
  <c r="AB22" i="1" s="1"/>
  <c r="K16" i="1"/>
  <c r="AB16" i="1" s="1"/>
  <c r="K18" i="1"/>
  <c r="AB18" i="1" s="1"/>
  <c r="K36" i="1"/>
  <c r="AB36" i="1" s="1"/>
  <c r="K8" i="1"/>
  <c r="AB8" i="1" s="1"/>
  <c r="DY14" i="1"/>
  <c r="DX14" i="1"/>
  <c r="DP14" i="1"/>
  <c r="CW36" i="1"/>
  <c r="CX36" i="1"/>
  <c r="DG36" i="1" s="1"/>
  <c r="CZ36" i="1"/>
  <c r="DA36" i="1"/>
  <c r="DJ36" i="1" s="1"/>
  <c r="DC36" i="1"/>
  <c r="DL36" i="1" s="1"/>
  <c r="DD36" i="1"/>
  <c r="DM36" i="1" s="1"/>
  <c r="CW8" i="1"/>
  <c r="CX8" i="1"/>
  <c r="DG8" i="1" s="1"/>
  <c r="CZ8" i="1"/>
  <c r="DI8" i="1" s="1"/>
  <c r="DA8" i="1"/>
  <c r="DJ8" i="1" s="1"/>
  <c r="DC8" i="1"/>
  <c r="DD8" i="1"/>
  <c r="DM8" i="1" s="1"/>
  <c r="CW10" i="1"/>
  <c r="DF10" i="1" s="1"/>
  <c r="CX10" i="1"/>
  <c r="DG10" i="1" s="1"/>
  <c r="CZ10" i="1"/>
  <c r="DI10" i="1" s="1"/>
  <c r="DA10" i="1"/>
  <c r="DC10" i="1"/>
  <c r="DD10" i="1"/>
  <c r="DM10" i="1" s="1"/>
  <c r="CW18" i="1"/>
  <c r="DF18" i="1" s="1"/>
  <c r="CX18" i="1"/>
  <c r="DG18" i="1" s="1"/>
  <c r="CZ18" i="1"/>
  <c r="DA18" i="1"/>
  <c r="DJ18" i="1" s="1"/>
  <c r="DC18" i="1"/>
  <c r="DL18" i="1" s="1"/>
  <c r="DD18" i="1"/>
  <c r="DM18" i="1" s="1"/>
  <c r="CW16" i="1"/>
  <c r="CX16" i="1"/>
  <c r="DG16" i="1" s="1"/>
  <c r="CZ16" i="1"/>
  <c r="DI16" i="1" s="1"/>
  <c r="DA16" i="1"/>
  <c r="DJ16" i="1" s="1"/>
  <c r="DC16" i="1"/>
  <c r="DL16" i="1" s="1"/>
  <c r="DD16" i="1"/>
  <c r="DM16" i="1" s="1"/>
  <c r="CW22" i="1"/>
  <c r="CX22" i="1"/>
  <c r="DG22" i="1" s="1"/>
  <c r="CZ22" i="1"/>
  <c r="DA22" i="1"/>
  <c r="DJ22" i="1" s="1"/>
  <c r="DC22" i="1"/>
  <c r="DD22" i="1"/>
  <c r="DM22" i="1" s="1"/>
  <c r="CW23" i="1"/>
  <c r="CX23" i="1"/>
  <c r="CZ23" i="1"/>
  <c r="DI23" i="1" s="1"/>
  <c r="DA23" i="1"/>
  <c r="DC23" i="1"/>
  <c r="DD23" i="1"/>
  <c r="DM23" i="1" s="1"/>
  <c r="CW12" i="1"/>
  <c r="DF12" i="1" s="1"/>
  <c r="CX12" i="1"/>
  <c r="DG12" i="1" s="1"/>
  <c r="CZ12" i="1"/>
  <c r="DA12" i="1"/>
  <c r="DJ12" i="1" s="1"/>
  <c r="DC12" i="1"/>
  <c r="DL12" i="1" s="1"/>
  <c r="DD12" i="1"/>
  <c r="DM12" i="1" s="1"/>
  <c r="CW24" i="1"/>
  <c r="CX24" i="1"/>
  <c r="DG24" i="1" s="1"/>
  <c r="CZ24" i="1"/>
  <c r="DI24" i="1" s="1"/>
  <c r="DA24" i="1"/>
  <c r="DJ24" i="1" s="1"/>
  <c r="DC24" i="1"/>
  <c r="DL24" i="1" s="1"/>
  <c r="DD24" i="1"/>
  <c r="DM24" i="1" s="1"/>
  <c r="CW30" i="1"/>
  <c r="DF30" i="1" s="1"/>
  <c r="CX30" i="1"/>
  <c r="CZ30" i="1"/>
  <c r="DA30" i="1"/>
  <c r="DJ30" i="1" s="1"/>
  <c r="DC30" i="1"/>
  <c r="DD30" i="1"/>
  <c r="DM30" i="1" s="1"/>
  <c r="CW14" i="1"/>
  <c r="DF14" i="1" s="1"/>
  <c r="CX14" i="1"/>
  <c r="DG14" i="1" s="1"/>
  <c r="CZ14" i="1"/>
  <c r="DI14" i="1" s="1"/>
  <c r="DA14" i="1"/>
  <c r="DC14" i="1"/>
  <c r="DL14" i="1" s="1"/>
  <c r="DD14" i="1"/>
  <c r="DM14" i="1" s="1"/>
  <c r="CW37" i="1"/>
  <c r="DF37" i="1" s="1"/>
  <c r="CX37" i="1"/>
  <c r="DG37" i="1" s="1"/>
  <c r="CZ37" i="1"/>
  <c r="DA37" i="1"/>
  <c r="DJ37" i="1" s="1"/>
  <c r="DC37" i="1"/>
  <c r="DL37" i="1" s="1"/>
  <c r="DD37" i="1"/>
  <c r="DM37" i="1" s="1"/>
  <c r="CW41" i="1"/>
  <c r="DF41" i="1" s="1"/>
  <c r="CX41" i="1"/>
  <c r="DG41" i="1" s="1"/>
  <c r="CZ41" i="1"/>
  <c r="DA41" i="1"/>
  <c r="DJ41" i="1" s="1"/>
  <c r="DC41" i="1"/>
  <c r="DD41" i="1"/>
  <c r="DM41" i="1" s="1"/>
  <c r="CW45" i="1"/>
  <c r="DF45" i="1" s="1"/>
  <c r="CX45" i="1"/>
  <c r="DG45" i="1" s="1"/>
  <c r="CZ45" i="1"/>
  <c r="DI45" i="1" s="1"/>
  <c r="DA45" i="1"/>
  <c r="DC45" i="1"/>
  <c r="DL45" i="1" s="1"/>
  <c r="DD45" i="1"/>
  <c r="DM45" i="1" s="1"/>
  <c r="CW44" i="1"/>
  <c r="DF44" i="1" s="1"/>
  <c r="CX44" i="1"/>
  <c r="DG44" i="1" s="1"/>
  <c r="CZ44" i="1"/>
  <c r="DA44" i="1"/>
  <c r="DJ44" i="1" s="1"/>
  <c r="DC44" i="1"/>
  <c r="DD44" i="1"/>
  <c r="DM44" i="1" s="1"/>
  <c r="BG36" i="1"/>
  <c r="BP36" i="1" s="1"/>
  <c r="BH36" i="1"/>
  <c r="BJ36" i="1"/>
  <c r="BK36" i="1"/>
  <c r="BT36" i="1" s="1"/>
  <c r="BG8" i="1"/>
  <c r="BH8" i="1"/>
  <c r="BQ8" i="1" s="1"/>
  <c r="BJ8" i="1"/>
  <c r="BK8" i="1"/>
  <c r="BT8" i="1" s="1"/>
  <c r="BG10" i="1"/>
  <c r="BP10" i="1" s="1"/>
  <c r="BH10" i="1"/>
  <c r="BQ10" i="1" s="1"/>
  <c r="BJ10" i="1"/>
  <c r="BK10" i="1"/>
  <c r="BT10" i="1" s="1"/>
  <c r="BG18" i="1"/>
  <c r="BP18" i="1" s="1"/>
  <c r="BH18" i="1"/>
  <c r="BQ18" i="1" s="1"/>
  <c r="BJ18" i="1"/>
  <c r="BK18" i="1"/>
  <c r="BT18" i="1" s="1"/>
  <c r="BG16" i="1"/>
  <c r="BP16" i="1" s="1"/>
  <c r="BH16" i="1"/>
  <c r="BJ16" i="1"/>
  <c r="BS16" i="1" s="1"/>
  <c r="BK16" i="1"/>
  <c r="BT16" i="1" s="1"/>
  <c r="BG22" i="1"/>
  <c r="BH22" i="1"/>
  <c r="BQ22" i="1" s="1"/>
  <c r="BJ22" i="1"/>
  <c r="BK22" i="1"/>
  <c r="BT22" i="1" s="1"/>
  <c r="BG23" i="1"/>
  <c r="BP23" i="1" s="1"/>
  <c r="BH23" i="1"/>
  <c r="BQ23" i="1" s="1"/>
  <c r="BJ23" i="1"/>
  <c r="BS23" i="1" s="1"/>
  <c r="BK23" i="1"/>
  <c r="BT23" i="1" s="1"/>
  <c r="BG12" i="1"/>
  <c r="BP12" i="1" s="1"/>
  <c r="BH12" i="1"/>
  <c r="BQ12" i="1" s="1"/>
  <c r="BJ12" i="1"/>
  <c r="BS12" i="1" s="1"/>
  <c r="BK12" i="1"/>
  <c r="BT12" i="1" s="1"/>
  <c r="BG24" i="1"/>
  <c r="BP24" i="1" s="1"/>
  <c r="BH24" i="1"/>
  <c r="BJ24" i="1"/>
  <c r="BK24" i="1"/>
  <c r="BT24" i="1" s="1"/>
  <c r="BG30" i="1"/>
  <c r="BP30" i="1" s="1"/>
  <c r="BH30" i="1"/>
  <c r="BQ30" i="1" s="1"/>
  <c r="BJ30" i="1"/>
  <c r="BS30" i="1" s="1"/>
  <c r="BK30" i="1"/>
  <c r="BG14" i="1"/>
  <c r="BP14" i="1" s="1"/>
  <c r="BH14" i="1"/>
  <c r="BJ14" i="1"/>
  <c r="BS14" i="1" s="1"/>
  <c r="BK14" i="1"/>
  <c r="BT14" i="1" s="1"/>
  <c r="BG37" i="1"/>
  <c r="BP37" i="1" s="1"/>
  <c r="BH37" i="1"/>
  <c r="BQ37" i="1" s="1"/>
  <c r="BJ37" i="1"/>
  <c r="BK37" i="1"/>
  <c r="BT37" i="1" s="1"/>
  <c r="BG41" i="1"/>
  <c r="BH41" i="1"/>
  <c r="BQ41" i="1" s="1"/>
  <c r="BJ41" i="1"/>
  <c r="BK41" i="1"/>
  <c r="BT41" i="1" s="1"/>
  <c r="BG45" i="1"/>
  <c r="BP45" i="1" s="1"/>
  <c r="BH45" i="1"/>
  <c r="BQ45" i="1" s="1"/>
  <c r="BJ45" i="1"/>
  <c r="BS45" i="1" s="1"/>
  <c r="BK45" i="1"/>
  <c r="BT45" i="1" s="1"/>
  <c r="BG44" i="1"/>
  <c r="BH44" i="1"/>
  <c r="BQ44" i="1" s="1"/>
  <c r="BJ44" i="1"/>
  <c r="BK44" i="1"/>
  <c r="BT44" i="1" s="1"/>
  <c r="BE36" i="1"/>
  <c r="BN36" i="1" s="1"/>
  <c r="BE8" i="1"/>
  <c r="BN8" i="1" s="1"/>
  <c r="BE10" i="1"/>
  <c r="BN10" i="1" s="1"/>
  <c r="BE18" i="1"/>
  <c r="BN18" i="1" s="1"/>
  <c r="BE16" i="1"/>
  <c r="BN16" i="1" s="1"/>
  <c r="BE22" i="1"/>
  <c r="BN22" i="1" s="1"/>
  <c r="BE23" i="1"/>
  <c r="BN23" i="1" s="1"/>
  <c r="BE12" i="1"/>
  <c r="BN12" i="1" s="1"/>
  <c r="BE24" i="1"/>
  <c r="BN24" i="1" s="1"/>
  <c r="BE30" i="1"/>
  <c r="BN30" i="1" s="1"/>
  <c r="BE14" i="1"/>
  <c r="BN14" i="1" s="1"/>
  <c r="BE37" i="1"/>
  <c r="BN37" i="1" s="1"/>
  <c r="BE41" i="1"/>
  <c r="BN41" i="1" s="1"/>
  <c r="BE45" i="1"/>
  <c r="BN45" i="1" s="1"/>
  <c r="BE44" i="1"/>
  <c r="BN44" i="1" s="1"/>
  <c r="BD36" i="1"/>
  <c r="BD8" i="1"/>
  <c r="BM8" i="1" s="1"/>
  <c r="BD10" i="1"/>
  <c r="BD18" i="1"/>
  <c r="BM18" i="1" s="1"/>
  <c r="BD16" i="1"/>
  <c r="BM16" i="1" s="1"/>
  <c r="BD22" i="1"/>
  <c r="BM22" i="1" s="1"/>
  <c r="BD23" i="1"/>
  <c r="BM12" i="1"/>
  <c r="BD24" i="1"/>
  <c r="BD30" i="1"/>
  <c r="BM30" i="1" s="1"/>
  <c r="BD14" i="1"/>
  <c r="BD37" i="1"/>
  <c r="BM37" i="1" s="1"/>
  <c r="BD41" i="1"/>
  <c r="BM41" i="1" s="1"/>
  <c r="BD45" i="1"/>
  <c r="BM45" i="1" s="1"/>
  <c r="BD44" i="1"/>
  <c r="BM44" i="1" s="1"/>
  <c r="AB10" i="1"/>
  <c r="EE14" i="1"/>
  <c r="ED14" i="1"/>
  <c r="DV14" i="1"/>
  <c r="DU14" i="1"/>
  <c r="EB14" i="1"/>
  <c r="EA14" i="1"/>
  <c r="DS14" i="1"/>
  <c r="DR14" i="1"/>
  <c r="EF43" i="1"/>
  <c r="EC43" i="1"/>
  <c r="DZ43" i="1"/>
  <c r="DW43" i="1"/>
  <c r="DT43" i="1"/>
  <c r="DQ43" i="1"/>
  <c r="DL43" i="1"/>
  <c r="DG43" i="1"/>
  <c r="BT43" i="1"/>
  <c r="BN43" i="1"/>
  <c r="CV43" i="1"/>
  <c r="CS43" i="1"/>
  <c r="CP43" i="1"/>
  <c r="CM43" i="1"/>
  <c r="CJ43" i="1"/>
  <c r="CG43" i="1"/>
  <c r="CD43" i="1"/>
  <c r="CA43" i="1"/>
  <c r="BX43" i="1"/>
  <c r="BC43" i="1"/>
  <c r="AZ43" i="1"/>
  <c r="AW43" i="1"/>
  <c r="AT43" i="1"/>
  <c r="AQ43" i="1"/>
  <c r="AN43" i="1"/>
  <c r="AK43" i="1"/>
  <c r="AH43" i="1"/>
  <c r="AE43" i="1"/>
  <c r="S43" i="1"/>
  <c r="O43" i="1"/>
  <c r="K43" i="1"/>
  <c r="AB43" i="1" s="1"/>
  <c r="T41" i="1" l="1"/>
  <c r="T22" i="1"/>
  <c r="T14" i="1"/>
  <c r="T16" i="1"/>
  <c r="EG30" i="1"/>
  <c r="EG8" i="1"/>
  <c r="EG23" i="1"/>
  <c r="EG45" i="1"/>
  <c r="EG22" i="1"/>
  <c r="EG14" i="1"/>
  <c r="EG37" i="1"/>
  <c r="EG18" i="1"/>
  <c r="BF24" i="1"/>
  <c r="BO24" i="1" s="1"/>
  <c r="T37" i="1"/>
  <c r="T10" i="1"/>
  <c r="BF36" i="1"/>
  <c r="BO36" i="1" s="1"/>
  <c r="EG41" i="1"/>
  <c r="EG16" i="1"/>
  <c r="EG12" i="1"/>
  <c r="EG24" i="1"/>
  <c r="EG36" i="1"/>
  <c r="EG10" i="1"/>
  <c r="T44" i="1"/>
  <c r="CY22" i="1"/>
  <c r="DH22" i="1" s="1"/>
  <c r="EG44" i="1"/>
  <c r="DE10" i="1"/>
  <c r="DN10" i="1" s="1"/>
  <c r="CY24" i="1"/>
  <c r="DE22" i="1"/>
  <c r="BI22" i="1"/>
  <c r="BR22" i="1" s="1"/>
  <c r="BI8" i="1"/>
  <c r="BR8" i="1" s="1"/>
  <c r="DB44" i="1"/>
  <c r="DK44" i="1" s="1"/>
  <c r="DB30" i="1"/>
  <c r="DB12" i="1"/>
  <c r="DK12" i="1" s="1"/>
  <c r="CY23" i="1"/>
  <c r="DH23" i="1" s="1"/>
  <c r="BL37" i="1"/>
  <c r="BU37" i="1" s="1"/>
  <c r="BL18" i="1"/>
  <c r="BU18" i="1" s="1"/>
  <c r="BI44" i="1"/>
  <c r="BR44" i="1" s="1"/>
  <c r="BI41" i="1"/>
  <c r="BR41" i="1" s="1"/>
  <c r="DB41" i="1"/>
  <c r="DK41" i="1" s="1"/>
  <c r="DQ14" i="1"/>
  <c r="T18" i="1"/>
  <c r="DW14" i="1"/>
  <c r="BF23" i="1"/>
  <c r="BO23" i="1" s="1"/>
  <c r="DE12" i="1"/>
  <c r="DN12" i="1" s="1"/>
  <c r="CY16" i="1"/>
  <c r="DH16" i="1" s="1"/>
  <c r="DE8" i="1"/>
  <c r="DN8" i="1" s="1"/>
  <c r="BL44" i="1"/>
  <c r="BU44" i="1" s="1"/>
  <c r="BL41" i="1"/>
  <c r="BU41" i="1" s="1"/>
  <c r="BL24" i="1"/>
  <c r="BU24" i="1" s="1"/>
  <c r="BL10" i="1"/>
  <c r="BL36" i="1"/>
  <c r="BU36" i="1" s="1"/>
  <c r="DE30" i="1"/>
  <c r="DN30" i="1" s="1"/>
  <c r="DI30" i="1"/>
  <c r="DF23" i="1"/>
  <c r="DZ14" i="1"/>
  <c r="EC14" i="1"/>
  <c r="DT14" i="1"/>
  <c r="BF14" i="1"/>
  <c r="DE44" i="1"/>
  <c r="DN44" i="1" s="1"/>
  <c r="CY14" i="1"/>
  <c r="DH14" i="1" s="1"/>
  <c r="CY8" i="1"/>
  <c r="EF14" i="1"/>
  <c r="BS10" i="1"/>
  <c r="BP22" i="1"/>
  <c r="BS36" i="1"/>
  <c r="BF41" i="1"/>
  <c r="BO41" i="1" s="1"/>
  <c r="BF16" i="1"/>
  <c r="BI37" i="1"/>
  <c r="BR37" i="1" s="1"/>
  <c r="BI18" i="1"/>
  <c r="BR18" i="1" s="1"/>
  <c r="BL14" i="1"/>
  <c r="BU14" i="1" s="1"/>
  <c r="CY44" i="1"/>
  <c r="DH44" i="1" s="1"/>
  <c r="DE36" i="1"/>
  <c r="DN36" i="1" s="1"/>
  <c r="DE24" i="1"/>
  <c r="EK24" i="1" s="1"/>
  <c r="BP41" i="1"/>
  <c r="BM23" i="1"/>
  <c r="BF45" i="1"/>
  <c r="BF22" i="1"/>
  <c r="BO22" i="1" s="1"/>
  <c r="BI16" i="1"/>
  <c r="BR16" i="1" s="1"/>
  <c r="CY45" i="1"/>
  <c r="DH45" i="1" s="1"/>
  <c r="DB23" i="1"/>
  <c r="BF44" i="1"/>
  <c r="BI45" i="1"/>
  <c r="BR45" i="1" s="1"/>
  <c r="BL16" i="1"/>
  <c r="BU16" i="1" s="1"/>
  <c r="CY41" i="1"/>
  <c r="DB22" i="1"/>
  <c r="DK22" i="1" s="1"/>
  <c r="DB45" i="1"/>
  <c r="DE23" i="1"/>
  <c r="DN23" i="1" s="1"/>
  <c r="BM24" i="1"/>
  <c r="T12" i="1"/>
  <c r="BF12" i="1"/>
  <c r="BO12" i="1" s="1"/>
  <c r="BI23" i="1"/>
  <c r="BR23" i="1" s="1"/>
  <c r="BL45" i="1"/>
  <c r="BU45" i="1" s="1"/>
  <c r="BL22" i="1"/>
  <c r="BU22" i="1" s="1"/>
  <c r="CY18" i="1"/>
  <c r="DH18" i="1" s="1"/>
  <c r="CY37" i="1"/>
  <c r="DB16" i="1"/>
  <c r="DE45" i="1"/>
  <c r="BS24" i="1"/>
  <c r="T24" i="1"/>
  <c r="BI12" i="1"/>
  <c r="BL23" i="1"/>
  <c r="BU23" i="1" s="1"/>
  <c r="CY10" i="1"/>
  <c r="DH10" i="1" s="1"/>
  <c r="DB18" i="1"/>
  <c r="DK18" i="1" s="1"/>
  <c r="DB37" i="1"/>
  <c r="DE16" i="1"/>
  <c r="DE41" i="1"/>
  <c r="DN41" i="1" s="1"/>
  <c r="BT30" i="1"/>
  <c r="T30" i="1"/>
  <c r="BF30" i="1"/>
  <c r="BO30" i="1" s="1"/>
  <c r="BF8" i="1"/>
  <c r="BO8" i="1" s="1"/>
  <c r="BI24" i="1"/>
  <c r="BR24" i="1" s="1"/>
  <c r="BI36" i="1"/>
  <c r="BL12" i="1"/>
  <c r="CY30" i="1"/>
  <c r="DH30" i="1" s="1"/>
  <c r="DB10" i="1"/>
  <c r="DK10" i="1" s="1"/>
  <c r="DB14" i="1"/>
  <c r="DK14" i="1" s="1"/>
  <c r="DE18" i="1"/>
  <c r="DN18" i="1" s="1"/>
  <c r="DE37" i="1"/>
  <c r="DN37" i="1" s="1"/>
  <c r="BQ14" i="1"/>
  <c r="BQ16" i="1"/>
  <c r="BF10" i="1"/>
  <c r="BO10" i="1" s="1"/>
  <c r="BI30" i="1"/>
  <c r="BR30" i="1" s="1"/>
  <c r="CY36" i="1"/>
  <c r="DH36" i="1" s="1"/>
  <c r="DB8" i="1"/>
  <c r="DE14" i="1"/>
  <c r="DN14" i="1" s="1"/>
  <c r="BM36" i="1"/>
  <c r="BF37" i="1"/>
  <c r="BF18" i="1"/>
  <c r="BO18" i="1" s="1"/>
  <c r="BI14" i="1"/>
  <c r="BI10" i="1"/>
  <c r="BL30" i="1"/>
  <c r="BU30" i="1" s="1"/>
  <c r="BL8" i="1"/>
  <c r="BU8" i="1" s="1"/>
  <c r="CY12" i="1"/>
  <c r="DH12" i="1" s="1"/>
  <c r="DB36" i="1"/>
  <c r="DK36" i="1" s="1"/>
  <c r="DB24" i="1"/>
  <c r="T36" i="1"/>
  <c r="T23" i="1"/>
  <c r="T8" i="1"/>
  <c r="T45" i="1"/>
  <c r="BP44" i="1"/>
  <c r="BM14" i="1"/>
  <c r="BM10" i="1"/>
  <c r="DI22" i="1"/>
  <c r="BO16" i="1"/>
  <c r="BS41" i="1"/>
  <c r="BS22" i="1"/>
  <c r="DL44" i="1"/>
  <c r="DG23" i="1"/>
  <c r="BQ24" i="1"/>
  <c r="BP8" i="1"/>
  <c r="BQ36" i="1"/>
  <c r="DI41" i="1"/>
  <c r="DG30" i="1"/>
  <c r="BS44" i="1"/>
  <c r="BS8" i="1"/>
  <c r="BS37" i="1"/>
  <c r="BS18" i="1"/>
  <c r="DJ45" i="1"/>
  <c r="DL41" i="1"/>
  <c r="DJ14" i="1"/>
  <c r="DL30" i="1"/>
  <c r="DF24" i="1"/>
  <c r="DJ23" i="1"/>
  <c r="DL22" i="1"/>
  <c r="DF16" i="1"/>
  <c r="DJ10" i="1"/>
  <c r="DL8" i="1"/>
  <c r="DF36" i="1"/>
  <c r="DI44" i="1"/>
  <c r="DI37" i="1"/>
  <c r="DI12" i="1"/>
  <c r="DI18" i="1"/>
  <c r="DL23" i="1"/>
  <c r="DF22" i="1"/>
  <c r="DL10" i="1"/>
  <c r="DF8" i="1"/>
  <c r="DI36" i="1"/>
  <c r="EG43" i="1"/>
  <c r="BS43" i="1"/>
  <c r="CY43" i="1"/>
  <c r="DH43" i="1" s="1"/>
  <c r="DM43" i="1"/>
  <c r="BP43" i="1"/>
  <c r="BQ43" i="1"/>
  <c r="BI43" i="1"/>
  <c r="DE43" i="1"/>
  <c r="DN43" i="1" s="1"/>
  <c r="DJ43" i="1"/>
  <c r="BF43" i="1"/>
  <c r="DB43" i="1"/>
  <c r="DK43" i="1" s="1"/>
  <c r="DI43" i="1"/>
  <c r="BM43" i="1"/>
  <c r="DF43" i="1"/>
  <c r="BL43" i="1"/>
  <c r="T43" i="1"/>
  <c r="EK16" i="1" l="1"/>
  <c r="DN16" i="1"/>
  <c r="EJ37" i="1"/>
  <c r="EJ24" i="1"/>
  <c r="DK37" i="1"/>
  <c r="EH16" i="1"/>
  <c r="EI44" i="1"/>
  <c r="EH37" i="1"/>
  <c r="BR10" i="1"/>
  <c r="EK44" i="1"/>
  <c r="EJ16" i="1"/>
  <c r="EI41" i="1"/>
  <c r="EJ23" i="1"/>
  <c r="EI37" i="1"/>
  <c r="DK16" i="1"/>
  <c r="EJ8" i="1"/>
  <c r="EK37" i="1"/>
  <c r="DK23" i="1"/>
  <c r="EI8" i="1"/>
  <c r="BU12" i="1"/>
  <c r="BR12" i="1"/>
  <c r="EK10" i="1"/>
  <c r="BR36" i="1"/>
  <c r="DN24" i="1"/>
  <c r="DH8" i="1"/>
  <c r="DK8" i="1"/>
  <c r="DK24" i="1"/>
  <c r="DH24" i="1"/>
  <c r="EJ45" i="1"/>
  <c r="DK45" i="1"/>
  <c r="DH41" i="1"/>
  <c r="EH45" i="1"/>
  <c r="EK30" i="1"/>
  <c r="EH22" i="1"/>
  <c r="EI16" i="1"/>
  <c r="EI22" i="1"/>
  <c r="EI18" i="1"/>
  <c r="EK8" i="1"/>
  <c r="EK22" i="1"/>
  <c r="BO37" i="1"/>
  <c r="EJ10" i="1"/>
  <c r="EI45" i="1"/>
  <c r="EJ41" i="1"/>
  <c r="EJ44" i="1"/>
  <c r="EJ30" i="1"/>
  <c r="EH30" i="1"/>
  <c r="EI10" i="1"/>
  <c r="EK45" i="1"/>
  <c r="EH44" i="1"/>
  <c r="EJ12" i="1"/>
  <c r="EH8" i="1"/>
  <c r="EJ18" i="1"/>
  <c r="BO45" i="1"/>
  <c r="EH12" i="1"/>
  <c r="EH41" i="1"/>
  <c r="EH14" i="1"/>
  <c r="EI23" i="1"/>
  <c r="DN45" i="1"/>
  <c r="BO14" i="1"/>
  <c r="DK30" i="1"/>
  <c r="EI12" i="1"/>
  <c r="EI24" i="1"/>
  <c r="EH36" i="1"/>
  <c r="EK36" i="1"/>
  <c r="BR14" i="1"/>
  <c r="EJ43" i="1"/>
  <c r="DH37" i="1"/>
  <c r="DN22" i="1"/>
  <c r="EJ22" i="1"/>
  <c r="EK18" i="1"/>
  <c r="EH23" i="1"/>
  <c r="EI29" i="1"/>
  <c r="EI14" i="1"/>
  <c r="EH24" i="1"/>
  <c r="EK41" i="1"/>
  <c r="BU10" i="1"/>
  <c r="EJ14" i="1"/>
  <c r="EH18" i="1"/>
  <c r="EK14" i="1"/>
  <c r="EH10" i="1"/>
  <c r="EK43" i="1"/>
  <c r="EK23" i="1"/>
  <c r="EK12" i="1"/>
  <c r="EJ36" i="1"/>
  <c r="EI36" i="1"/>
  <c r="EI30" i="1"/>
  <c r="BO44" i="1"/>
  <c r="EH43" i="1"/>
  <c r="BR43" i="1"/>
  <c r="BU43" i="1"/>
  <c r="EI43" i="1"/>
  <c r="BO43" i="1"/>
</calcChain>
</file>

<file path=xl/sharedStrings.xml><?xml version="1.0" encoding="utf-8"?>
<sst xmlns="http://schemas.openxmlformats.org/spreadsheetml/2006/main" count="2593" uniqueCount="463">
  <si>
    <t>Government</t>
  </si>
  <si>
    <t>Government Aided</t>
  </si>
  <si>
    <t>Government Unaided</t>
  </si>
  <si>
    <t>Total</t>
  </si>
  <si>
    <t>Schools</t>
  </si>
  <si>
    <t>Appeared</t>
  </si>
  <si>
    <t>Passed</t>
  </si>
  <si>
    <t>Pass %</t>
  </si>
  <si>
    <t>100%-90%</t>
  </si>
  <si>
    <t>90%-80%</t>
  </si>
  <si>
    <t>80%-70%</t>
  </si>
  <si>
    <t>70%-60%</t>
  </si>
  <si>
    <t>60%-50%</t>
  </si>
  <si>
    <t>Total Differ</t>
  </si>
  <si>
    <t>Board Name</t>
  </si>
  <si>
    <t>Sr No.</t>
  </si>
  <si>
    <t>All Boys</t>
  </si>
  <si>
    <t>All girls</t>
  </si>
  <si>
    <t xml:space="preserve">All </t>
  </si>
  <si>
    <t xml:space="preserve">SC Boys </t>
  </si>
  <si>
    <t>SC Girls</t>
  </si>
  <si>
    <t>SC all</t>
  </si>
  <si>
    <t xml:space="preserve">ST Boys </t>
  </si>
  <si>
    <t>ST girls</t>
  </si>
  <si>
    <t>ST All</t>
  </si>
  <si>
    <t>Regular Appeared</t>
  </si>
  <si>
    <t>Regular Passed</t>
  </si>
  <si>
    <t>Regular Supplementary Passed</t>
  </si>
  <si>
    <t>Regular Total Passed</t>
  </si>
  <si>
    <t>Private Appeared</t>
  </si>
  <si>
    <t>Private Passed</t>
  </si>
  <si>
    <t>Private Supplementary Passed</t>
  </si>
  <si>
    <t>Private Total Passed</t>
  </si>
  <si>
    <t>Passed with percentage(60% &amp; Above)</t>
  </si>
  <si>
    <t>Passed with percentage(Below 60% )</t>
  </si>
  <si>
    <t>Total Passed</t>
  </si>
  <si>
    <t>All</t>
  </si>
  <si>
    <t>SC</t>
  </si>
  <si>
    <t>ST</t>
  </si>
  <si>
    <t>Regular Student Pass %</t>
  </si>
  <si>
    <t>Private Student Pass %</t>
  </si>
  <si>
    <t xml:space="preserve"> (Schoolwise Vs Reg+Private)</t>
  </si>
  <si>
    <t>Name of the Board</t>
  </si>
  <si>
    <t>Boys</t>
  </si>
  <si>
    <t>Girls</t>
  </si>
  <si>
    <t>Name of Examination</t>
  </si>
  <si>
    <t>Date of Annual Exam</t>
  </si>
  <si>
    <t>Date of Supplementry Exam</t>
  </si>
  <si>
    <t>Commencement</t>
  </si>
  <si>
    <t>Completion</t>
  </si>
  <si>
    <r>
      <rPr>
        <b/>
        <sz val="11"/>
        <rFont val="Cambria"/>
        <family val="1"/>
      </rPr>
      <t xml:space="preserve">New Delhi </t>
    </r>
    <r>
      <rPr>
        <sz val="11"/>
        <rFont val="Cambria"/>
        <family val="1"/>
      </rPr>
      <t>Rashtriya Sanskrit Sansthan</t>
    </r>
  </si>
  <si>
    <t>Annual</t>
  </si>
  <si>
    <r>
      <rPr>
        <b/>
        <sz val="11"/>
        <rFont val="Cambria"/>
        <family val="1"/>
      </rPr>
      <t>Banasthali Vidyapith</t>
    </r>
    <r>
      <rPr>
        <sz val="11"/>
        <rFont val="Cambria"/>
        <family val="1"/>
      </rPr>
      <t xml:space="preserve"> , </t>
    </r>
    <r>
      <rPr>
        <b/>
        <sz val="11"/>
        <rFont val="Cambria"/>
        <family val="1"/>
      </rPr>
      <t>Rajasthan</t>
    </r>
  </si>
  <si>
    <t>Secondary School Certificate (Class - X)</t>
  </si>
  <si>
    <r>
      <t>Bihar</t>
    </r>
    <r>
      <rPr>
        <sz val="11"/>
        <rFont val="Cambria"/>
        <family val="1"/>
      </rPr>
      <t xml:space="preserve"> School Education Board</t>
    </r>
  </si>
  <si>
    <t>Secondary School Examination 2017 (Annual)</t>
  </si>
  <si>
    <r>
      <t>Chhattisgarh</t>
    </r>
    <r>
      <rPr>
        <sz val="11"/>
        <rFont val="Cambria"/>
        <family val="1"/>
      </rPr>
      <t xml:space="preserve"> Board of Secondary Education</t>
    </r>
  </si>
  <si>
    <t>High School Certificate Examination</t>
  </si>
  <si>
    <r>
      <t xml:space="preserve">Chhatisgarh </t>
    </r>
    <r>
      <rPr>
        <sz val="11"/>
        <rFont val="Cambria"/>
        <family val="1"/>
      </rPr>
      <t>Sanskriti Vidya Mandalam</t>
    </r>
  </si>
  <si>
    <t>Purva Madhyama class (X)</t>
  </si>
  <si>
    <r>
      <t>Goa</t>
    </r>
    <r>
      <rPr>
        <sz val="11"/>
        <rFont val="Cambria"/>
        <family val="1"/>
      </rPr>
      <t xml:space="preserve"> Board of Secondary &amp; Higher Secondary Education</t>
    </r>
  </si>
  <si>
    <t>Secondary School Certificate Examination</t>
  </si>
  <si>
    <r>
      <t>Gujarat</t>
    </r>
    <r>
      <rPr>
        <sz val="11"/>
        <rFont val="Cambria"/>
        <family val="1"/>
      </rPr>
      <t xml:space="preserve"> Secondary &amp; Higher Secondary Education Board</t>
    </r>
  </si>
  <si>
    <t>SSC Examination - 2017</t>
  </si>
  <si>
    <r>
      <t xml:space="preserve">Board of School Education </t>
    </r>
    <r>
      <rPr>
        <b/>
        <sz val="11"/>
        <rFont val="Cambria"/>
        <family val="1"/>
      </rPr>
      <t>Haryana</t>
    </r>
  </si>
  <si>
    <r>
      <t>H.P.</t>
    </r>
    <r>
      <rPr>
        <sz val="11"/>
        <rFont val="Cambria"/>
        <family val="1"/>
      </rPr>
      <t xml:space="preserve"> Board of School Education</t>
    </r>
  </si>
  <si>
    <t>HPBOSE</t>
  </si>
  <si>
    <r>
      <rPr>
        <b/>
        <sz val="11"/>
        <rFont val="Cambria"/>
        <family val="1"/>
      </rPr>
      <t>Madhya Pradesh</t>
    </r>
    <r>
      <rPr>
        <sz val="11"/>
        <rFont val="Cambria"/>
        <family val="1"/>
      </rPr>
      <t xml:space="preserve"> Maharshi Patanjali Sanskrit Sansthan</t>
    </r>
  </si>
  <si>
    <t>Poorv Madhyama (X)</t>
  </si>
  <si>
    <t>Annual High School Certificate Examination</t>
  </si>
  <si>
    <r>
      <t>Punjab</t>
    </r>
    <r>
      <rPr>
        <sz val="11"/>
        <rFont val="Cambria"/>
        <family val="1"/>
      </rPr>
      <t xml:space="preserve"> School Education Board</t>
    </r>
  </si>
  <si>
    <t>Matric Examination</t>
  </si>
  <si>
    <t>Purva Madhyma</t>
  </si>
  <si>
    <r>
      <t xml:space="preserve">U.P. </t>
    </r>
    <r>
      <rPr>
        <sz val="11"/>
        <rFont val="Cambria"/>
        <family val="1"/>
      </rPr>
      <t>Dayalbag Education Institute</t>
    </r>
  </si>
  <si>
    <t xml:space="preserve">High School   </t>
  </si>
  <si>
    <t>Nil</t>
  </si>
  <si>
    <r>
      <t xml:space="preserve">Uttarakhand </t>
    </r>
    <r>
      <rPr>
        <sz val="11"/>
        <rFont val="Cambria"/>
        <family val="1"/>
      </rPr>
      <t>Sanskriti Shiksha   Parishad</t>
    </r>
  </si>
  <si>
    <t>Porva Madhayama(High School)Exam-2017</t>
  </si>
  <si>
    <r>
      <t xml:space="preserve">Uttarakhand </t>
    </r>
    <r>
      <rPr>
        <sz val="11"/>
        <rFont val="Cambria"/>
        <family val="1"/>
      </rPr>
      <t>Board of School Education</t>
    </r>
  </si>
  <si>
    <r>
      <t xml:space="preserve">State Madrassa Education Board, </t>
    </r>
    <r>
      <rPr>
        <b/>
        <sz val="11"/>
        <rFont val="Cambria"/>
        <family val="1"/>
      </rPr>
      <t>Assam</t>
    </r>
  </si>
  <si>
    <t>Fadilul Ma arif(F.M.) Examination</t>
  </si>
  <si>
    <r>
      <rPr>
        <b/>
        <sz val="11"/>
        <rFont val="Cambria"/>
        <family val="1"/>
      </rPr>
      <t>Nagaland</t>
    </r>
    <r>
      <rPr>
        <sz val="11"/>
        <rFont val="Cambria"/>
        <family val="1"/>
      </rPr>
      <t xml:space="preserve"> Board of School Education</t>
    </r>
  </si>
  <si>
    <t>Secondary School Examination (Class-X)</t>
  </si>
  <si>
    <t>High School Leaving Certificate Examination</t>
  </si>
  <si>
    <r>
      <t>Madhya Pradesh</t>
    </r>
    <r>
      <rPr>
        <sz val="11"/>
        <rFont val="Cambria"/>
        <family val="1"/>
      </rPr>
      <t xml:space="preserve"> Board of Secondary Education </t>
    </r>
  </si>
  <si>
    <r>
      <rPr>
        <b/>
        <sz val="11"/>
        <color theme="1"/>
        <rFont val="Calibri"/>
        <family val="2"/>
        <scheme val="minor"/>
      </rPr>
      <t xml:space="preserve">UP </t>
    </r>
    <r>
      <rPr>
        <sz val="11"/>
        <color theme="1"/>
        <rFont val="Calibri"/>
        <family val="2"/>
        <scheme val="minor"/>
      </rPr>
      <t>Madhyamik Shiksha Parishad</t>
    </r>
  </si>
  <si>
    <r>
      <rPr>
        <b/>
        <sz val="11"/>
        <rFont val="Cambria"/>
        <family val="1"/>
      </rPr>
      <t>Assam</t>
    </r>
    <r>
      <rPr>
        <sz val="11"/>
        <rFont val="Cambria"/>
        <family val="1"/>
      </rPr>
      <t xml:space="preserve"> Sanskrit Board</t>
    </r>
  </si>
  <si>
    <t xml:space="preserve">Secondary School Examination (Class X) </t>
  </si>
  <si>
    <r>
      <rPr>
        <b/>
        <sz val="11"/>
        <rFont val="Cambria"/>
        <family val="1"/>
      </rPr>
      <t>Aligarh Muslim University</t>
    </r>
    <r>
      <rPr>
        <sz val="11"/>
        <rFont val="Cambria"/>
        <family val="1"/>
      </rPr>
      <t xml:space="preserve"> Board of Secondary &amp; Sr.Secondary Education</t>
    </r>
  </si>
  <si>
    <t>Secondary School Certificate Examination (Part-II)</t>
  </si>
  <si>
    <r>
      <t xml:space="preserve">Central Board of Secondary Education, </t>
    </r>
    <r>
      <rPr>
        <b/>
        <sz val="11"/>
        <rFont val="Cambria"/>
        <family val="1"/>
      </rPr>
      <t>New Delhi</t>
    </r>
  </si>
  <si>
    <r>
      <rPr>
        <sz val="11"/>
        <rFont val="Cambria"/>
        <family val="1"/>
      </rPr>
      <t>Director of Government Examination</t>
    </r>
    <r>
      <rPr>
        <b/>
        <sz val="11"/>
        <rFont val="Cambria"/>
        <family val="1"/>
      </rPr>
      <t xml:space="preserve"> Telangana</t>
    </r>
  </si>
  <si>
    <t>Secondary School Certificate Public Examination</t>
  </si>
  <si>
    <t>Chhattisgarh Madarsa Board</t>
  </si>
  <si>
    <t>High School Correspondence Course Examination</t>
  </si>
  <si>
    <r>
      <t>Jharkhand</t>
    </r>
    <r>
      <rPr>
        <sz val="11"/>
        <rFont val="Cambria"/>
        <family val="1"/>
      </rPr>
      <t xml:space="preserve"> Academic Council, Ranchi</t>
    </r>
  </si>
  <si>
    <t>Board of Academic Council -2017</t>
  </si>
  <si>
    <r>
      <t xml:space="preserve">J.K </t>
    </r>
    <r>
      <rPr>
        <sz val="11"/>
        <rFont val="Cambria"/>
        <family val="1"/>
      </rPr>
      <t>State Board of School Education</t>
    </r>
  </si>
  <si>
    <t>Jammu and Kashmir board Class - X</t>
  </si>
  <si>
    <r>
      <t xml:space="preserve">Council for the Indian School Certificate Examinations,                     </t>
    </r>
    <r>
      <rPr>
        <b/>
        <sz val="11"/>
        <rFont val="Cambria"/>
        <family val="1"/>
      </rPr>
      <t>New Delhi</t>
    </r>
  </si>
  <si>
    <t>Indian Certificate of Secondary Education</t>
  </si>
  <si>
    <t>N.A</t>
  </si>
  <si>
    <r>
      <t xml:space="preserve">Tripura </t>
    </r>
    <r>
      <rPr>
        <sz val="11"/>
        <rFont val="Cambria"/>
        <family val="1"/>
      </rPr>
      <t>Board of Secondary Education</t>
    </r>
  </si>
  <si>
    <t>Madhyamik Pariksha(Secondary Examination)</t>
  </si>
  <si>
    <r>
      <t>West Bengal</t>
    </r>
    <r>
      <rPr>
        <sz val="11"/>
        <rFont val="Cambria"/>
        <family val="1"/>
      </rPr>
      <t xml:space="preserve"> Board of Secondary Education</t>
    </r>
  </si>
  <si>
    <t>Board of Secondary education</t>
  </si>
  <si>
    <r>
      <t>Meghalaya</t>
    </r>
    <r>
      <rPr>
        <sz val="11"/>
        <color indexed="8"/>
        <rFont val="Cambria"/>
        <family val="1"/>
      </rPr>
      <t xml:space="preserve"> Board of School Education</t>
    </r>
  </si>
  <si>
    <r>
      <rPr>
        <b/>
        <sz val="11"/>
        <rFont val="Cambria"/>
        <family val="1"/>
      </rPr>
      <t>Maharashtra</t>
    </r>
    <r>
      <rPr>
        <sz val="11"/>
        <rFont val="Cambria"/>
        <family val="1"/>
      </rPr>
      <t xml:space="preserve"> State Board of Secondary Education</t>
    </r>
  </si>
  <si>
    <r>
      <rPr>
        <b/>
        <sz val="11"/>
        <rFont val="Cambria"/>
        <family val="1"/>
      </rPr>
      <t>Andhra Pradesh</t>
    </r>
    <r>
      <rPr>
        <sz val="11"/>
        <rFont val="Cambria"/>
        <family val="1"/>
      </rPr>
      <t xml:space="preserve">, Board of Secondary Education </t>
    </r>
  </si>
  <si>
    <t>Maharashtra State Board of Secondary Education</t>
  </si>
  <si>
    <r>
      <rPr>
        <b/>
        <sz val="11"/>
        <rFont val="Cambria"/>
        <family val="1"/>
      </rPr>
      <t>Kerala</t>
    </r>
    <r>
      <rPr>
        <sz val="11"/>
        <rFont val="Cambria"/>
        <family val="1"/>
      </rPr>
      <t xml:space="preserve"> Board of Public Examination (Secondary Wing)</t>
    </r>
  </si>
  <si>
    <r>
      <rPr>
        <b/>
        <sz val="11"/>
        <color theme="1"/>
        <rFont val="Calibri"/>
        <family val="2"/>
        <scheme val="minor"/>
      </rPr>
      <t>West Bengal</t>
    </r>
    <r>
      <rPr>
        <sz val="11"/>
        <color theme="1"/>
        <rFont val="Calibri"/>
        <family val="2"/>
        <scheme val="minor"/>
      </rPr>
      <t xml:space="preserve"> Board of Madrasah Education </t>
    </r>
  </si>
  <si>
    <t>High Madrasah Examination</t>
  </si>
  <si>
    <r>
      <t xml:space="preserve">Karnataka, </t>
    </r>
    <r>
      <rPr>
        <sz val="11"/>
        <rFont val="Cambria"/>
        <family val="1"/>
      </rPr>
      <t>Secondary Education Examination Board</t>
    </r>
  </si>
  <si>
    <t>Secondary School Leaving Certificate</t>
  </si>
  <si>
    <r>
      <rPr>
        <b/>
        <sz val="11"/>
        <color theme="1"/>
        <rFont val="Calibri"/>
        <family val="2"/>
        <scheme val="minor"/>
      </rPr>
      <t xml:space="preserve">Bihar </t>
    </r>
    <r>
      <rPr>
        <sz val="11"/>
        <color theme="1"/>
        <rFont val="Calibri"/>
        <family val="2"/>
        <scheme val="minor"/>
      </rPr>
      <t>State Madrasa Education Board, Vidyapati Marg, Patna</t>
    </r>
  </si>
  <si>
    <r>
      <t xml:space="preserve"> Board of Secondary Education,</t>
    </r>
    <r>
      <rPr>
        <b/>
        <sz val="11"/>
        <rFont val="Cambria"/>
        <family val="1"/>
      </rPr>
      <t xml:space="preserve"> Rajasthan</t>
    </r>
  </si>
  <si>
    <t>Board of Secondary education (Class X)</t>
  </si>
  <si>
    <t>10-013-2017</t>
  </si>
  <si>
    <t>High School Leaving Certificate Examination(HSLC)</t>
  </si>
  <si>
    <r>
      <rPr>
        <b/>
        <sz val="11"/>
        <rFont val="Cambria"/>
        <family val="1"/>
      </rPr>
      <t>Assam</t>
    </r>
    <r>
      <rPr>
        <sz val="11"/>
        <rFont val="Cambria"/>
        <family val="1"/>
      </rPr>
      <t xml:space="preserve"> Board of Secondary Education </t>
    </r>
    <r>
      <rPr>
        <b/>
        <sz val="11"/>
        <rFont val="Cambria"/>
        <family val="1"/>
      </rPr>
      <t xml:space="preserve"> </t>
    </r>
  </si>
  <si>
    <r>
      <t xml:space="preserve">Board of Secondary Education, </t>
    </r>
    <r>
      <rPr>
        <b/>
        <sz val="11"/>
        <rFont val="Cambria"/>
        <family val="1"/>
      </rPr>
      <t>Manipur</t>
    </r>
  </si>
  <si>
    <r>
      <t xml:space="preserve">Board of Secondary Education, </t>
    </r>
    <r>
      <rPr>
        <b/>
        <sz val="11"/>
        <rFont val="Cambria"/>
        <family val="1"/>
      </rPr>
      <t>Odisha</t>
    </r>
  </si>
  <si>
    <t>Secondary examination</t>
  </si>
  <si>
    <r>
      <rPr>
        <b/>
        <sz val="11"/>
        <color theme="1"/>
        <rFont val="Calibri"/>
        <family val="2"/>
        <scheme val="minor"/>
      </rPr>
      <t>Mizoram</t>
    </r>
    <r>
      <rPr>
        <sz val="11"/>
        <color theme="1"/>
        <rFont val="Calibri"/>
        <family val="2"/>
        <scheme val="minor"/>
      </rPr>
      <t xml:space="preserve"> Board of School Education</t>
    </r>
  </si>
  <si>
    <r>
      <rPr>
        <b/>
        <sz val="11"/>
        <color theme="1"/>
        <rFont val="Calibri"/>
        <family val="2"/>
        <scheme val="minor"/>
      </rPr>
      <t>Tamilnadu</t>
    </r>
    <r>
      <rPr>
        <sz val="11"/>
        <color theme="1"/>
        <rFont val="Calibri"/>
        <family val="2"/>
        <scheme val="minor"/>
      </rPr>
      <t xml:space="preserve"> board of Secondary Education</t>
    </r>
  </si>
  <si>
    <r>
      <rPr>
        <b/>
        <sz val="11"/>
        <color theme="1"/>
        <rFont val="Calibri"/>
        <family val="2"/>
        <scheme val="minor"/>
      </rPr>
      <t xml:space="preserve">Bihar </t>
    </r>
    <r>
      <rPr>
        <sz val="11"/>
        <color theme="1"/>
        <rFont val="Calibri"/>
        <family val="2"/>
        <scheme val="minor"/>
      </rPr>
      <t>Sanskrit Board of Education</t>
    </r>
  </si>
  <si>
    <t>High School</t>
  </si>
  <si>
    <r>
      <t>Maharshi Patanjali Sanskrit Sansthan,Bhopal(</t>
    </r>
    <r>
      <rPr>
        <b/>
        <sz val="11"/>
        <color theme="1"/>
        <rFont val="Calibri"/>
        <family val="2"/>
        <scheme val="minor"/>
      </rPr>
      <t>Madhya Pradesh)</t>
    </r>
  </si>
  <si>
    <r>
      <rPr>
        <b/>
        <sz val="11"/>
        <color theme="1"/>
        <rFont val="Calibri"/>
        <family val="2"/>
        <scheme val="minor"/>
      </rPr>
      <t xml:space="preserve">UP </t>
    </r>
    <r>
      <rPr>
        <sz val="11"/>
        <color theme="1"/>
        <rFont val="Calibri"/>
        <family val="2"/>
        <scheme val="minor"/>
      </rPr>
      <t>Madhyamik Sanskrit Shiksha Parishad</t>
    </r>
  </si>
  <si>
    <t>Row Labels</t>
  </si>
  <si>
    <t xml:space="preserve"> Board of Secondary Education, Rajasthan</t>
  </si>
  <si>
    <t>Aligarh Muslim University Board of Secondary &amp; Sr.Secondary Education</t>
  </si>
  <si>
    <t xml:space="preserve">Andhra Pradesh, Board of Secondary Education </t>
  </si>
  <si>
    <t xml:space="preserve">Assam Board of Secondary Education  </t>
  </si>
  <si>
    <t>Assam Sanskrit Board</t>
  </si>
  <si>
    <t>Banasthali Vidyapith , Rajasthan</t>
  </si>
  <si>
    <t>Bihar Sanskrit Board of Education</t>
  </si>
  <si>
    <t>Bihar School Education Board</t>
  </si>
  <si>
    <t>Bihar State Madrasa Education Board, Vidyapati Marg, Patna</t>
  </si>
  <si>
    <t>Board of School Education Haryana</t>
  </si>
  <si>
    <t>Board of Secondary Education, Manipur</t>
  </si>
  <si>
    <t>Board of Secondary Education, Odisha</t>
  </si>
  <si>
    <t>Central Board of Secondary Education, New Delhi</t>
  </si>
  <si>
    <t>Chhatisgarh Sanskriti Vidya Mandalam</t>
  </si>
  <si>
    <t>Chhattisgarh Board of Secondary Education</t>
  </si>
  <si>
    <t>Council for the Indian School Certificate Examinations,                     New Delhi</t>
  </si>
  <si>
    <t>Director of Government Examination Telangana</t>
  </si>
  <si>
    <t>Goa Board of Secondary &amp; Higher Secondary Education</t>
  </si>
  <si>
    <t>Gujarat Secondary &amp; Higher Secondary Education Board</t>
  </si>
  <si>
    <t>H.P. Board of School Education</t>
  </si>
  <si>
    <t>J.K State Board of School Education</t>
  </si>
  <si>
    <t>Jharkhand Academic Council, Ranchi</t>
  </si>
  <si>
    <t>Karnataka, Secondary Education Examination Board</t>
  </si>
  <si>
    <t>Kerala Board of Public Examination (Secondary Wing)</t>
  </si>
  <si>
    <t xml:space="preserve">Madhya Pradesh Board of Secondary Education </t>
  </si>
  <si>
    <t>Madhya Pradesh Maharshi Patanjali Sanskrit Sansthan</t>
  </si>
  <si>
    <t>Maharshi Patanjali Sanskrit Sansthan,Bhopal(Madhya Pradesh)</t>
  </si>
  <si>
    <t>Meghalaya Board of School Education</t>
  </si>
  <si>
    <t>Mizoram Board of School Education</t>
  </si>
  <si>
    <t>Nagaland Board of School Education</t>
  </si>
  <si>
    <t>New Delhi Rashtriya Sanskrit Sansthan</t>
  </si>
  <si>
    <t>Punjab School Education Board</t>
  </si>
  <si>
    <t>State Madrassa Education Board, Assam</t>
  </si>
  <si>
    <t>Tamilnadu board of Secondary Education</t>
  </si>
  <si>
    <t>Tripura Board of Secondary Education</t>
  </si>
  <si>
    <t>U.P. Dayalbag Education Institute</t>
  </si>
  <si>
    <t>UP Madhyamik Sanskrit Shiksha Parishad</t>
  </si>
  <si>
    <t>UP Madhyamik Shiksha Parishad</t>
  </si>
  <si>
    <t>Uttarakhand Board of School Education</t>
  </si>
  <si>
    <t>Uttarakhand Sanskriti Shiksha   Parishad</t>
  </si>
  <si>
    <t xml:space="preserve">West Bengal Board of Madrasah Education </t>
  </si>
  <si>
    <t>West Bengal Board of Secondary Education</t>
  </si>
  <si>
    <t>Grand Total</t>
  </si>
  <si>
    <t>P_All Boys</t>
  </si>
  <si>
    <t>PP_All Boys</t>
  </si>
  <si>
    <t>PPS_All Boys</t>
  </si>
  <si>
    <t>(blank)</t>
  </si>
  <si>
    <t>Values</t>
  </si>
  <si>
    <t>Table 1- Annual and Supplementary Examination Results - Regular Students - All Categories</t>
  </si>
  <si>
    <t>Table 2 -Annual and Supplementary Examination Results - Private Students - All Categories</t>
  </si>
  <si>
    <t>Table 3 -Annual and Supplementary Examination Results - Regular and Private Students - All Categories</t>
  </si>
  <si>
    <t>Table 4 -Annual and Supplementary Examination Results - Regular SC Students</t>
  </si>
  <si>
    <t>Table 5 -Annual and Supplementary Examination Results - Private SC Students</t>
  </si>
  <si>
    <t>Table 6 -Annual and Supplementary Examination Results - Regular and Private SC Students</t>
  </si>
  <si>
    <t>Table 7 -Annual and Supplementary Examination Results - Regular ST Students</t>
  </si>
  <si>
    <t>Table 8 -Annual and Supplementary Examination Results - Private ST Students</t>
  </si>
  <si>
    <t>Table 9 -Annual and Supplementary Examination Results - Regular and Private ST Students</t>
  </si>
  <si>
    <t>Number of Students</t>
  </si>
  <si>
    <t>Pass %age</t>
  </si>
  <si>
    <t>Supplementary</t>
  </si>
  <si>
    <t>Annual &amp; Supplementary</t>
  </si>
  <si>
    <t>Sl. No.</t>
  </si>
  <si>
    <t>Total Number of Students Passed</t>
  </si>
  <si>
    <t>Out of the Total, Number of Students passed with marks</t>
  </si>
  <si>
    <t>Percentage of Students passed with marks</t>
  </si>
  <si>
    <t>60% &amp; above</t>
  </si>
  <si>
    <t>pas All Boys</t>
  </si>
  <si>
    <t>Pas All girls</t>
  </si>
  <si>
    <t>Sum of All 11</t>
  </si>
  <si>
    <t>Sum of SC all11</t>
  </si>
  <si>
    <t>Sum of ST All11</t>
  </si>
  <si>
    <t>Sum of pas All Boys</t>
  </si>
  <si>
    <t>Sum of Pas All girls</t>
  </si>
  <si>
    <t>Sum of SC Boys 11</t>
  </si>
  <si>
    <t>Sum of SC Girls11</t>
  </si>
  <si>
    <t>Sum of ST Boys 11</t>
  </si>
  <si>
    <t>Sum of ST girls11</t>
  </si>
  <si>
    <t>RESULTS OF SECONDARY EXAMINATION- 2017</t>
  </si>
  <si>
    <t>Table 10 -Annual and Supplementary Examination Results - Percentage-wise-All Categories</t>
  </si>
  <si>
    <t>Table 11 -Annual and Supplementary Examination Results - Percentage-wise-SC Students</t>
  </si>
  <si>
    <t>Table 12 -Annual and Supplementary Examination Results - Percentage-wise-ST Students</t>
  </si>
  <si>
    <t>Board of Secondary Education, Rajasthan</t>
  </si>
  <si>
    <t>Board of Secondary Education, Telangana</t>
  </si>
  <si>
    <t>Uttarakhand Sanskriti Shiksha Parishad</t>
  </si>
  <si>
    <t>Council for the Indian School Certificate Examinations,New Delhi</t>
  </si>
  <si>
    <t>Central Boards</t>
  </si>
  <si>
    <t>State Boards</t>
  </si>
  <si>
    <t>Year</t>
  </si>
  <si>
    <t>All Categories</t>
  </si>
  <si>
    <t>Scheduled Caste</t>
  </si>
  <si>
    <t>Scheduled Tribe</t>
  </si>
  <si>
    <t>Telangana Open School Society, Hyderabad</t>
  </si>
  <si>
    <t>Chhattisgarh State Open School</t>
  </si>
  <si>
    <t>Rajasthan State Open School</t>
  </si>
  <si>
    <t>MP State Open School Education board, Bhopal</t>
  </si>
  <si>
    <t xml:space="preserve">National Institute of Open Schooling </t>
  </si>
  <si>
    <t xml:space="preserve">Note: In Open Schooling System, candidates are not classified as 'Regular' or 'Private". </t>
  </si>
  <si>
    <t>Black cell indicates that either system does not exist or information is not available.</t>
  </si>
  <si>
    <t>75% &amp; above</t>
  </si>
  <si>
    <t>60% to below 75%</t>
  </si>
  <si>
    <t>Council for the Indian School Certificate Examinations, New Delhi</t>
  </si>
  <si>
    <r>
      <t xml:space="preserve">Board of Secondary Education, </t>
    </r>
    <r>
      <rPr>
        <b/>
        <sz val="11"/>
        <rFont val="Cambria"/>
        <family val="1"/>
      </rPr>
      <t>Andhra Pradesh</t>
    </r>
  </si>
  <si>
    <r>
      <t xml:space="preserve">Board of Secondary Education </t>
    </r>
    <r>
      <rPr>
        <b/>
        <sz val="11"/>
        <rFont val="Cambria"/>
        <family val="1"/>
      </rPr>
      <t>Assam</t>
    </r>
  </si>
  <si>
    <r>
      <t xml:space="preserve">Banasthali Vidyapith,  </t>
    </r>
    <r>
      <rPr>
        <b/>
        <sz val="11"/>
        <rFont val="Cambria"/>
        <family val="1"/>
      </rPr>
      <t>Rajasthan #</t>
    </r>
  </si>
  <si>
    <r>
      <t>Bihar</t>
    </r>
    <r>
      <rPr>
        <sz val="11"/>
        <rFont val="Cambria"/>
        <family val="1"/>
      </rPr>
      <t xml:space="preserve"> State Madrasa Education Board</t>
    </r>
  </si>
  <si>
    <r>
      <t>Karnataka</t>
    </r>
    <r>
      <rPr>
        <sz val="11"/>
        <rFont val="Cambria"/>
        <family val="1"/>
      </rPr>
      <t xml:space="preserve"> Secondary Education Examination Board</t>
    </r>
  </si>
  <si>
    <r>
      <t xml:space="preserve">Kerala </t>
    </r>
    <r>
      <rPr>
        <sz val="11"/>
        <rFont val="Cambria"/>
        <family val="1"/>
      </rPr>
      <t>Board of Public Examination</t>
    </r>
  </si>
  <si>
    <r>
      <t>Maharasthra</t>
    </r>
    <r>
      <rPr>
        <sz val="11"/>
        <rFont val="Cambria"/>
        <family val="1"/>
      </rPr>
      <t xml:space="preserve"> State Board of Secondary &amp; Higher Secondary Education</t>
    </r>
  </si>
  <si>
    <r>
      <t xml:space="preserve">Board of Secondary Education, </t>
    </r>
    <r>
      <rPr>
        <b/>
        <sz val="11"/>
        <rFont val="Cambria"/>
        <family val="1"/>
      </rPr>
      <t>Madhya Pradesh</t>
    </r>
  </si>
  <si>
    <r>
      <t>Mizoram</t>
    </r>
    <r>
      <rPr>
        <sz val="11"/>
        <rFont val="Cambria"/>
        <family val="1"/>
      </rPr>
      <t xml:space="preserve"> Board of School Education</t>
    </r>
  </si>
  <si>
    <r>
      <t>Nagaland</t>
    </r>
    <r>
      <rPr>
        <sz val="11"/>
        <rFont val="Cambria"/>
        <family val="1"/>
      </rPr>
      <t xml:space="preserve"> Board of School Education</t>
    </r>
  </si>
  <si>
    <r>
      <t xml:space="preserve">Board of Secondary Education, </t>
    </r>
    <r>
      <rPr>
        <b/>
        <sz val="11"/>
        <rFont val="Cambria"/>
        <family val="1"/>
      </rPr>
      <t>Orissa</t>
    </r>
  </si>
  <si>
    <r>
      <t xml:space="preserve">Board of Secondary Education, </t>
    </r>
    <r>
      <rPr>
        <b/>
        <sz val="11"/>
        <rFont val="Cambria"/>
        <family val="1"/>
      </rPr>
      <t>Rajasthan</t>
    </r>
  </si>
  <si>
    <r>
      <t>Tamil Nadu</t>
    </r>
    <r>
      <rPr>
        <sz val="11"/>
        <rFont val="Cambria"/>
        <family val="1"/>
      </rPr>
      <t xml:space="preserve"> State Board of School Examination</t>
    </r>
  </si>
  <si>
    <r>
      <t xml:space="preserve">UP </t>
    </r>
    <r>
      <rPr>
        <sz val="11"/>
        <rFont val="Cambria"/>
        <family val="1"/>
      </rPr>
      <t>Board of High School &amp; Intermediate Education</t>
    </r>
  </si>
  <si>
    <r>
      <t>U.P.</t>
    </r>
    <r>
      <rPr>
        <sz val="11"/>
        <rFont val="Cambria"/>
        <family val="1"/>
      </rPr>
      <t>Madhymik Shiksha Parisad, Sanskriti Shiksha Parishad</t>
    </r>
  </si>
  <si>
    <r>
      <t>Uttranchal</t>
    </r>
    <r>
      <rPr>
        <sz val="11"/>
        <rFont val="Cambria"/>
        <family val="1"/>
      </rPr>
      <t xml:space="preserve"> Shiksha Evm Pariksha Parishad</t>
    </r>
  </si>
  <si>
    <t># The Institute is mainly meant for Women, Boys enrolment pertains to wards of the staff.</t>
  </si>
  <si>
    <r>
      <t xml:space="preserve">National Institute of Open Schooling, </t>
    </r>
    <r>
      <rPr>
        <b/>
        <sz val="11"/>
        <rFont val="Cambria"/>
        <family val="1"/>
      </rPr>
      <t>New Delhi</t>
    </r>
  </si>
  <si>
    <r>
      <t>A.P</t>
    </r>
    <r>
      <rPr>
        <sz val="11"/>
        <rFont val="Cambria"/>
        <family val="1"/>
      </rPr>
      <t>. Open School Society, Hyderabad</t>
    </r>
  </si>
  <si>
    <r>
      <t>Chhattisgarh</t>
    </r>
    <r>
      <rPr>
        <sz val="11"/>
        <rFont val="Cambria"/>
        <family val="1"/>
      </rPr>
      <t xml:space="preserve"> State Open School</t>
    </r>
  </si>
  <si>
    <r>
      <t>M.P.</t>
    </r>
    <r>
      <rPr>
        <sz val="11"/>
        <rFont val="Cambria"/>
        <family val="1"/>
      </rPr>
      <t xml:space="preserve"> State Open School Board of Secondary Education, Bhopal </t>
    </r>
  </si>
  <si>
    <r>
      <t>Rajasthan State Open School,</t>
    </r>
    <r>
      <rPr>
        <b/>
        <sz val="11"/>
        <rFont val="Cambria"/>
        <family val="1"/>
      </rPr>
      <t xml:space="preserve"> Rajasthan</t>
    </r>
  </si>
  <si>
    <r>
      <t xml:space="preserve">Telangana </t>
    </r>
    <r>
      <rPr>
        <sz val="11"/>
        <rFont val="Cambria"/>
        <family val="1"/>
      </rPr>
      <t>Open School Society, Hyderabad</t>
    </r>
  </si>
  <si>
    <t>Rabindra Mukta Vidyalaya (West Bengal State Open School), Kolkata#</t>
  </si>
  <si>
    <t>Open Boards</t>
  </si>
  <si>
    <t>RESULTS OF SECONDARY  EXAMINATION- 2015</t>
  </si>
  <si>
    <t>Table 3 -Annual and Supplementary Examination Results - Regular &amp; Private Students - All Categories</t>
  </si>
  <si>
    <t>Table 10 -Annual and Supplementary Examination Results - Performance-wise-All Categories</t>
  </si>
  <si>
    <t xml:space="preserve">                                                                              </t>
  </si>
  <si>
    <t xml:space="preserve"> Percentage of Students passed with marks</t>
  </si>
  <si>
    <t>Annual + Supplementary</t>
  </si>
  <si>
    <t>Board of Secondary Education, Andhra Pradesh</t>
  </si>
  <si>
    <t>Board of Secondary Education Assam</t>
  </si>
  <si>
    <t>Assam Sankrit Board</t>
  </si>
  <si>
    <t>Banasthali Vidyapith,  Rajasthan #</t>
  </si>
  <si>
    <t>Bihar State Madrasa Education Board</t>
  </si>
  <si>
    <t>Chhatisgarh Madrasa Board</t>
  </si>
  <si>
    <t>Karnataka Secondary Education Examination Board*</t>
  </si>
  <si>
    <t>Kerala Board of Public Examination*</t>
  </si>
  <si>
    <t>Maharasthra State Board of Secondary &amp; Higher Secondary Education</t>
  </si>
  <si>
    <t>Board of Secondary Education, Madhya Pradesh</t>
  </si>
  <si>
    <t>Board of Secondary Education, Orissa</t>
  </si>
  <si>
    <t>Tamil Nadu State Board of School Examination</t>
  </si>
  <si>
    <t>UP Board of High School &amp; Intermediate Education</t>
  </si>
  <si>
    <t>Board of School Education Uttarakhand</t>
  </si>
  <si>
    <t>Board of Madarsa Education, West Bengal, Kolkata **</t>
  </si>
  <si>
    <t>** Figures pertains to 'ALIM' and 'High Madarsa' as both are equivalent to High School Examination.</t>
  </si>
  <si>
    <t>*In Karnataka Secondary Education Examination Board &amp; Kerala Board of Public Examination , figure of 60% and above is recorded in coloum 60% to below 75%.</t>
  </si>
  <si>
    <t>National Institute of Open Schooling, New Delhi</t>
  </si>
  <si>
    <t>M.P. State Open School Board of Secondary Education, Bhopal@</t>
  </si>
  <si>
    <t>Rajasthan State Open School, Rajasthan</t>
  </si>
  <si>
    <t>RESULTS OF SECONDARY  EXAMINATION- 2014</t>
  </si>
  <si>
    <t>Board of School Education, Haryana</t>
  </si>
  <si>
    <t>Karnataka Secondary Education Examination Board</t>
  </si>
  <si>
    <t>Kerala Board of Public Examination</t>
  </si>
  <si>
    <t>Board of School Education, Uttarakhand</t>
  </si>
  <si>
    <t>A.P. Open School Society, Hyderabad</t>
  </si>
  <si>
    <t xml:space="preserve">M.P. State Open School Board of Secondary Education, Bhopal </t>
  </si>
  <si>
    <t>RESULTS OF SECONDARY EXAMINATION-2013</t>
  </si>
  <si>
    <r>
      <rPr>
        <sz val="11"/>
        <color indexed="8"/>
        <rFont val="Cambria"/>
        <family val="1"/>
      </rPr>
      <t>Telangana State Board of Secondary Education-Hyderabad</t>
    </r>
  </si>
  <si>
    <r>
      <t xml:space="preserve">Tripura </t>
    </r>
    <r>
      <rPr>
        <sz val="11"/>
        <color indexed="8"/>
        <rFont val="Cambria"/>
        <family val="1"/>
      </rPr>
      <t>Board of Secondary Education*</t>
    </r>
  </si>
  <si>
    <t>*In Tripura Board of Secondary Education, figure of 60% and above is recorded in coloum 60% to below 75%.</t>
  </si>
  <si>
    <r>
      <rPr>
        <b/>
        <sz val="11"/>
        <rFont val="Cambria"/>
        <family val="1"/>
      </rPr>
      <t>A.P.</t>
    </r>
    <r>
      <rPr>
        <sz val="11"/>
        <rFont val="Cambria"/>
        <family val="1"/>
      </rPr>
      <t xml:space="preserve"> Open School Society, Hyderabad</t>
    </r>
  </si>
  <si>
    <r>
      <t>Rajasthan State Open School,</t>
    </r>
    <r>
      <rPr>
        <b/>
        <sz val="11"/>
        <rFont val="Cambria"/>
        <family val="1"/>
      </rPr>
      <t xml:space="preserve"> Rajasthan@</t>
    </r>
  </si>
  <si>
    <r>
      <t>Rabindra Mukta Vidyalaya (</t>
    </r>
    <r>
      <rPr>
        <b/>
        <sz val="11"/>
        <rFont val="Cambria"/>
        <family val="1"/>
      </rPr>
      <t xml:space="preserve">West Bengal </t>
    </r>
    <r>
      <rPr>
        <sz val="11"/>
        <rFont val="Cambria"/>
        <family val="1"/>
      </rPr>
      <t>State Open School), Kolkata*</t>
    </r>
  </si>
  <si>
    <t>RESULTS OF SECONDARY EXAMINATION- 2012</t>
  </si>
  <si>
    <t>Chhattisgarh Madarsa Board*</t>
  </si>
  <si>
    <t>Meghalaya Board of School Education@</t>
  </si>
  <si>
    <t>Board of Secondary Education, Orissa*</t>
  </si>
  <si>
    <t>Tripura Board of Secondary Education*</t>
  </si>
  <si>
    <t>UP Board of High School &amp; Intermediate Education@</t>
  </si>
  <si>
    <t xml:space="preserve"> @Data repeated from previous year 2011, MHRD</t>
  </si>
  <si>
    <t>RESULTS OF SECONDARY EXAMINATION- 2011</t>
  </si>
  <si>
    <t>Chhatisgarh Madrasa Board*</t>
  </si>
  <si>
    <r>
      <t xml:space="preserve">UP </t>
    </r>
    <r>
      <rPr>
        <sz val="10"/>
        <rFont val="Cambria"/>
        <family val="1"/>
      </rPr>
      <t>Board of High School &amp; Intermediate Education@</t>
    </r>
  </si>
  <si>
    <t xml:space="preserve"> @Data repeated from previous year publication  2010, MHRD</t>
  </si>
  <si>
    <t>Rabindra Mukta Vidyalaya (West Bengal State Open School), Kolkata</t>
  </si>
  <si>
    <t>Board of Madrasah Education, West Bengal, Kolkata</t>
  </si>
  <si>
    <t xml:space="preserve"> @ Examination has not been contained by Board</t>
  </si>
  <si>
    <r>
      <t>Rabindra Mukta Vidyalaya (</t>
    </r>
    <r>
      <rPr>
        <b/>
        <sz val="11"/>
        <rFont val="Cambria"/>
        <family val="1"/>
      </rPr>
      <t xml:space="preserve">West Bengal </t>
    </r>
    <r>
      <rPr>
        <sz val="11"/>
        <rFont val="Cambria"/>
        <family val="1"/>
      </rPr>
      <t>State Open School), Kolkata</t>
    </r>
  </si>
  <si>
    <t xml:space="preserve"> @Data repeated from previous year   2012, MHRD</t>
  </si>
  <si>
    <t>*In Rabindra Mukta Vidyalaya (West Bengal State Open School) , figure of 60% and above is recorded in coloum 60% to below 75%.</t>
  </si>
  <si>
    <t>West Bengal Board of Secondary Education**</t>
  </si>
  <si>
    <t>Banasthali Vidyapith , Rajasthan#</t>
  </si>
  <si>
    <t xml:space="preserve"> @Data for december 2017 isrepeated from previous year 2016, MHRD</t>
  </si>
  <si>
    <t>@ Data is provisional.</t>
  </si>
  <si>
    <t>Central Board of Secondary Education, New Delhi@</t>
  </si>
  <si>
    <t>-</t>
  </si>
  <si>
    <t xml:space="preserve">Table 13 - Open School Board </t>
  </si>
  <si>
    <t xml:space="preserve"> @Data for December 2017 is repeated from December 2016, MHRD</t>
  </si>
  <si>
    <t>Andhra Pradesh Open School Society</t>
  </si>
  <si>
    <t>West Bengal Council of Rabindra Open Schooling@</t>
  </si>
  <si>
    <t>Schedule Caste</t>
  </si>
  <si>
    <t>Schedule Tribe</t>
  </si>
  <si>
    <t>Table 14 - Open School Board - Percentage-wise number of students</t>
  </si>
  <si>
    <t>Coverage (No. of Boards)</t>
  </si>
  <si>
    <t>RESULTS OF SECONDARY EXAMINATION- 2016</t>
  </si>
  <si>
    <t>Table 11 - SECONDARY EXAMINATION RESULTS DURING 2010 - 2017 (CENTRAL/STATE BOARDS)</t>
  </si>
  <si>
    <t>Table 12 -SECONDARY EXAMINATION RESULTS DURING 2010 - 2017 (OPEN SCHOOL BOARDS)</t>
  </si>
  <si>
    <t>Table 13 - SECONDARY EXAMINATION RESULTS DURING 2010 - 2017 (ALL BOARDS)</t>
  </si>
  <si>
    <t xml:space="preserve">Details information is available at MHRD portal.  </t>
  </si>
  <si>
    <t>http://mhrd.gov.in/statistics-new?shs_term_node_tid_depth=381</t>
  </si>
  <si>
    <t>Table 1 -Annual and Supplementary Examination Results - Regular and Private Students - All Categories</t>
  </si>
  <si>
    <t>Table 2 -Annual and Supplementary Examination Results - Percentage-wise-All Categories</t>
  </si>
  <si>
    <t>Table 4 -Annual and Supplementary Examination Results - Performance-wise-All Categories</t>
  </si>
  <si>
    <t>Table 5 -Annual and Supplementary Examination Results - Regular &amp; Private Students - All Categories</t>
  </si>
  <si>
    <t>Table 6 -Annual and Supplementary Examination Results - Performance-wise-All Categories</t>
  </si>
  <si>
    <t>Table 7 -Annual and Supplementary Examination Results - Regular &amp; Private Students - All Categories</t>
  </si>
  <si>
    <t>Table 8 -Annual and Supplementary Examination Results - Performance-wise-All Categories</t>
  </si>
  <si>
    <t>Table 9 -Annual and Supplementary Examination Results - Regular &amp; Private Students - All Categories</t>
  </si>
  <si>
    <t>Table 11 -Annual and Supplementary Examination Results - Regular &amp; Private Students - All Categories</t>
  </si>
  <si>
    <t>Table 12 -Annual and Supplementary Examination Results - Performance-wise-All Categories</t>
  </si>
  <si>
    <t>UP Board of Secondary Sanskrit Education</t>
  </si>
  <si>
    <t>Bihar School Examinaiton Board, Patna</t>
  </si>
  <si>
    <t>Chhattisgarh Madarsa Board, Raipur</t>
  </si>
  <si>
    <t>Chhatisgarh Sanskriti Vidya Mandalam, Raipur</t>
  </si>
  <si>
    <t>Maharashtra State Board of Secondary &amp; Higher Secondary Education</t>
  </si>
  <si>
    <t xml:space="preserve">Board of Secondary Education Madhya Pradesh </t>
  </si>
  <si>
    <t>State Board of School Educaiton Tamil Nadu</t>
  </si>
  <si>
    <t>Madhyamik Shiksha Parishad Uttar Pradesh</t>
  </si>
  <si>
    <t>Bihar Sanskrit Shiksha Board Patna</t>
  </si>
  <si>
    <t>Rashtriya Sanskrit Sansthan New delhi</t>
  </si>
  <si>
    <t xml:space="preserve">Directorate of Government Examination, Telangana State </t>
  </si>
  <si>
    <t xml:space="preserve">State Madrassa Education Board, Assam </t>
  </si>
  <si>
    <t>State</t>
  </si>
  <si>
    <t>Central</t>
  </si>
  <si>
    <t>Andhra Pradesh</t>
  </si>
  <si>
    <t>Telangana</t>
  </si>
  <si>
    <t>Assam</t>
  </si>
  <si>
    <t>Rajasthan</t>
  </si>
  <si>
    <t>Bihar</t>
  </si>
  <si>
    <t>Chhattisgarh</t>
  </si>
  <si>
    <t>Goa</t>
  </si>
  <si>
    <t>Gujarat</t>
  </si>
  <si>
    <t>Haryana</t>
  </si>
  <si>
    <t>Himachal Pradesh</t>
  </si>
  <si>
    <t>Himachal Pradesh Board of School Education</t>
  </si>
  <si>
    <t>Jammu and Kashmir State Board of School Education</t>
  </si>
  <si>
    <t>Jammu and Kashmir</t>
  </si>
  <si>
    <t>Jharkhand</t>
  </si>
  <si>
    <t>Karnataka</t>
  </si>
  <si>
    <t>Kerala</t>
  </si>
  <si>
    <t>Maharashtra</t>
  </si>
  <si>
    <t>Madhya Pradesh</t>
  </si>
  <si>
    <t>Manipur</t>
  </si>
  <si>
    <t>Meghalaya</t>
  </si>
  <si>
    <t>Mizoram</t>
  </si>
  <si>
    <t>Nagaland</t>
  </si>
  <si>
    <t>Odisha</t>
  </si>
  <si>
    <t>Punjab</t>
  </si>
  <si>
    <t>Tamil Nadu</t>
  </si>
  <si>
    <t>Tripura</t>
  </si>
  <si>
    <t xml:space="preserve"> Uttar Pradesh</t>
  </si>
  <si>
    <t>Uttarakhand</t>
  </si>
  <si>
    <t>West Bengal</t>
  </si>
  <si>
    <t>New Delhi</t>
  </si>
  <si>
    <t>Out of the Total, Number of Students passed with  60 % and above marks</t>
  </si>
  <si>
    <t>RESULTS OF SECONDARY EXAMINATION- 2022</t>
  </si>
  <si>
    <t>Annual (including supplementary)</t>
  </si>
  <si>
    <t>Appeared                                        (Regular +Private)</t>
  </si>
  <si>
    <t>Appeared                                            (Regular +Private)</t>
  </si>
  <si>
    <t>Registered</t>
  </si>
  <si>
    <t xml:space="preserve">Annual </t>
  </si>
  <si>
    <t>Open School Board, Punjab</t>
  </si>
  <si>
    <t>West Bengal Council of Rabindra Open Schooling</t>
  </si>
  <si>
    <t>Pass Percentage</t>
  </si>
  <si>
    <t>Table 8-  Examination Results - Private Un-Aided School</t>
  </si>
  <si>
    <t># Note: bifucated data of girls and boys for Kerala Board of Public Examination is not available</t>
  </si>
  <si>
    <t>2018#</t>
  </si>
  <si>
    <t>Sl. No</t>
  </si>
  <si>
    <t>Table 1-  Examination Results - Over ALL Management wise -    All Categories</t>
  </si>
  <si>
    <t>Table 2-  Examination Results - Over ALL Management wise -   All Categories</t>
  </si>
  <si>
    <t>Table 3 -  Examination Results -Government  School - All Categories</t>
  </si>
  <si>
    <t>Table 4-  Examination Results - Government  School - All Categories</t>
  </si>
  <si>
    <t>Table 5 -  Examination Results -Government Aided School - All Categories</t>
  </si>
  <si>
    <t>Table 6-  Examination Results - Government Aided School - All Categories</t>
  </si>
  <si>
    <t>Table 7 -  Examination Results -Private Un-Aided School - All Categories</t>
  </si>
  <si>
    <t>Table 9 -  Examination Results -Others - All Categories</t>
  </si>
  <si>
    <t>Table 10-  Examination Results - Others - All Categories</t>
  </si>
  <si>
    <t>Table 26-  Examination Results - Government Aided School</t>
  </si>
  <si>
    <t xml:space="preserve">Table 31 - Open School Board </t>
  </si>
  <si>
    <t xml:space="preserve">Table 32 - Open School Board </t>
  </si>
  <si>
    <t xml:space="preserve">Table 33 - Open School Board </t>
  </si>
  <si>
    <t xml:space="preserve">Table 34 - Open School Board </t>
  </si>
  <si>
    <t xml:space="preserve">Table 35 - Open School Board </t>
  </si>
  <si>
    <t xml:space="preserve">Table 36 - Open School Board </t>
  </si>
  <si>
    <t>Table 37 - SECONDARY EXAMINATION RESULTS DURING 2012-2022 (CENTRAL/STATE BOARDS)</t>
  </si>
  <si>
    <t>Table 38 -SECONDARY EXAMINATION RESULTS DURING 2012-2022 (OPEN SCHOOL BOARDS)</t>
  </si>
  <si>
    <t>Table 39 - SECONDARY EXAMINATION RESULTS DURING 2012-2022 (ALL BOARDS)</t>
  </si>
  <si>
    <t xml:space="preserve">Banasthali Vidyapith , Rajasthan# </t>
  </si>
  <si>
    <t>** Figures pertains to 'ALIM' and 'High Madarsa' as both are equivalent to High Scheduled Castehool Examination.</t>
  </si>
  <si>
    <t>Table 11-  Examination Results - Over ALL Management wise -  Scheduled Caste</t>
  </si>
  <si>
    <t>Table 12-  Examination Results - Over ALL Management wise -  Scheduled Caste</t>
  </si>
  <si>
    <t>Table 13 -  Examination Results -Government  Scheduled Castehool - Scheduled Caste</t>
  </si>
  <si>
    <t>Table 14-  Examination Results - Government  Scheduled Castehool - Scheduled Caste</t>
  </si>
  <si>
    <t>Table 15 -  Examination Results -Government Aided Scheduled Castehool - Scheduled Caste</t>
  </si>
  <si>
    <t>Table 16-  Examination Results - Government Aided Scheduled Castehool - Scheduled Caste</t>
  </si>
  <si>
    <t xml:space="preserve">Table 17 -  Examination Results -Private Un-Aided Scheduled Castehool -Scheduled Caste </t>
  </si>
  <si>
    <t>Table 18-  Examination Results - Private Un-Aided Scheduled Castehool -Scheduled Caste</t>
  </si>
  <si>
    <t>Table 19 -  Examination Results -Others -Scheduled Caste</t>
  </si>
  <si>
    <t>Table 20-  Examination Results - Others -Scheduled Caste</t>
  </si>
  <si>
    <t>Table 21-  Examination Results - Over ALL Management wise -  Scheduled Tribe</t>
  </si>
  <si>
    <t>Table 22-  Examination Results - Over ALL Management wise -  Scheduled Tribe</t>
  </si>
  <si>
    <t>Table 23 -  Examination Results -Government  School -Scheduled Tribe</t>
  </si>
  <si>
    <t>Table 24-  Examination Results - Government  School - Scheduled Tribe</t>
  </si>
  <si>
    <t>Table 25 -  Examination Results -Government Aided School - Scheduled Tribe</t>
  </si>
  <si>
    <t xml:space="preserve">Table 27 -  Examination Results -Private Un-Aided School -Scheduled Tribe </t>
  </si>
  <si>
    <t>Table 28-  Examination Results - Private Un-Aided School -Scheduled Tribe</t>
  </si>
  <si>
    <t>Table 29 -  Examination Results -Others - Scheduled Tribe</t>
  </si>
  <si>
    <t>Table 30-  Examination Results - Others - Scheduled Tribe</t>
  </si>
  <si>
    <t>Registered                                       (Regular +Private)</t>
  </si>
  <si>
    <t>Registered                                        (Regular +Private)</t>
  </si>
  <si>
    <t>Registered                                                                                        (Regular +Private)</t>
  </si>
  <si>
    <t>Appeared                                                                           (Regular +Private)</t>
  </si>
  <si>
    <t>Registered                                                                              (Regular +Private)</t>
  </si>
  <si>
    <t>Appeared                                                                                (Regular +Private)</t>
  </si>
  <si>
    <t>Registered                                                                                 (Regular +Private)</t>
  </si>
  <si>
    <t>Appeared                                                                             (Regular +Private)</t>
  </si>
  <si>
    <t>Registered                                                                                   (Regular +Private)</t>
  </si>
  <si>
    <t>Appeared                                                                                                  (Regular +Private)</t>
  </si>
  <si>
    <t>Registered                                                                                               (Regular +Private)</t>
  </si>
  <si>
    <t>Appeared                                                                                                      (Regular +Private)</t>
  </si>
  <si>
    <t>Registered                                                                                                        (Regular +Private)</t>
  </si>
  <si>
    <t>Appeared                                                                                                                 (Regular +Private)</t>
  </si>
  <si>
    <t>Registered                                                                                                              (Regular +Private)</t>
  </si>
  <si>
    <t>Appeared                                                                                                           (Regular +Private)</t>
  </si>
  <si>
    <t>Registered                                                                                                           (Regular +Private)</t>
  </si>
  <si>
    <t>Appeared                                                                                                             (Regular +Private)</t>
  </si>
  <si>
    <t>Registered                                                                                              (Regular +Private)</t>
  </si>
  <si>
    <t>Appeared                                                                                                     (Regular +Private)</t>
  </si>
  <si>
    <t>Registered                                                                                                    (Regular +Private)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</si>
</sst>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0;\-0;;@"/>
    <numFmt numFmtId="167" formatCode="0.00;\-0.00;;@"/>
    <numFmt numFmtId="168" formatCode="0.0;\-0.0;;@"/>
    <numFmt numFmtId="169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sz val="11"/>
      <color rgb="FFFF0000"/>
      <name val="Cambria"/>
      <family val="1"/>
    </font>
    <font>
      <b/>
      <sz val="11"/>
      <color theme="1"/>
      <name val="Cambria"/>
      <family val="1"/>
    </font>
    <font>
      <sz val="11"/>
      <color indexed="8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  <font>
      <i/>
      <sz val="9"/>
      <name val="Cambria"/>
      <family val="1"/>
    </font>
    <font>
      <sz val="11"/>
      <color theme="1"/>
      <name val="Calibri"/>
      <family val="2"/>
      <scheme val="minor"/>
    </font>
    <font>
      <b/>
      <sz val="11"/>
      <color indexed="8"/>
      <name val="Cambria"/>
      <family val="1"/>
    </font>
    <font>
      <i/>
      <sz val="9"/>
      <color indexed="8"/>
      <name val="Cambria"/>
      <family val="1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i/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4"/>
      <name val="Arial Narrow"/>
      <family val="2"/>
    </font>
    <font>
      <b/>
      <sz val="13"/>
      <name val="Cambria"/>
      <family val="1"/>
    </font>
    <font>
      <sz val="12"/>
      <name val="Cambria"/>
      <family val="1"/>
    </font>
    <font>
      <i/>
      <sz val="12"/>
      <name val="Cambria"/>
      <family val="1"/>
    </font>
    <font>
      <i/>
      <sz val="12"/>
      <color indexed="8"/>
      <name val="Cambria"/>
      <family val="1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i/>
      <sz val="10"/>
      <name val="Cambria"/>
      <family val="1"/>
    </font>
    <font>
      <sz val="11"/>
      <name val="Arial Narrow"/>
      <family val="2"/>
    </font>
    <font>
      <b/>
      <sz val="12"/>
      <color indexed="12"/>
      <name val="Arial Narrow"/>
      <family val="2"/>
    </font>
    <font>
      <sz val="10"/>
      <name val="Arial Narrow"/>
      <family val="2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sz val="11"/>
      <color indexed="60"/>
      <name val="Cambria"/>
      <family val="1"/>
    </font>
    <font>
      <sz val="11"/>
      <color theme="1"/>
      <name val="Cambria"/>
      <family val="1"/>
    </font>
    <font>
      <i/>
      <sz val="8"/>
      <name val="Cambria"/>
      <family val="1"/>
      <scheme val="major"/>
    </font>
    <font>
      <sz val="8"/>
      <name val="Cambria"/>
      <family val="1"/>
    </font>
    <font>
      <sz val="10"/>
      <name val="Cambria"/>
      <family val="1"/>
    </font>
    <font>
      <i/>
      <sz val="8"/>
      <name val="Calibri"/>
      <family val="2"/>
    </font>
    <font>
      <i/>
      <sz val="11"/>
      <name val="Calibri"/>
      <family val="2"/>
    </font>
    <font>
      <b/>
      <sz val="12"/>
      <color indexed="12"/>
      <name val="Cambria"/>
      <family val="1"/>
      <scheme val="major"/>
    </font>
    <font>
      <sz val="10"/>
      <name val="Cambria"/>
      <family val="1"/>
      <scheme val="maj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mbria"/>
      <family val="1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b/>
      <sz val="11"/>
      <color indexed="8"/>
      <name val="Cambria"/>
      <family val="1"/>
      <scheme val="maj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8"/>
      <name val="Cambria"/>
      <family val="1"/>
      <scheme val="major"/>
    </font>
    <font>
      <b/>
      <sz val="12"/>
      <color rgb="FF000000"/>
      <name val="Calibri"/>
      <family val="2"/>
    </font>
    <font>
      <sz val="12"/>
      <color theme="1"/>
      <name val="Cambria"/>
      <family val="1"/>
    </font>
    <font>
      <i/>
      <sz val="12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0"/>
    <xf numFmtId="0" fontId="46" fillId="0" borderId="0"/>
    <xf numFmtId="9" fontId="12" fillId="0" borderId="0" applyFont="0" applyFill="0" applyBorder="0" applyAlignment="0" applyProtection="0"/>
  </cellStyleXfs>
  <cellXfs count="61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6" borderId="1" xfId="0" applyFont="1" applyFill="1" applyBorder="1" applyAlignment="1">
      <alignment wrapText="1"/>
    </xf>
    <xf numFmtId="0" fontId="0" fillId="6" borderId="1" xfId="0" applyFill="1" applyBorder="1"/>
    <xf numFmtId="9" fontId="2" fillId="5" borderId="1" xfId="0" applyNumberFormat="1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0" fillId="8" borderId="1" xfId="0" applyFill="1" applyBorder="1"/>
    <xf numFmtId="0" fontId="2" fillId="9" borderId="1" xfId="0" applyFont="1" applyFill="1" applyBorder="1" applyAlignment="1">
      <alignment wrapText="1"/>
    </xf>
    <xf numFmtId="0" fontId="0" fillId="9" borderId="1" xfId="0" applyFill="1" applyBorder="1"/>
    <xf numFmtId="0" fontId="1" fillId="0" borderId="0" xfId="0" applyFont="1" applyFill="1"/>
    <xf numFmtId="0" fontId="4" fillId="11" borderId="5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vertical="center" wrapText="1"/>
    </xf>
    <xf numFmtId="0" fontId="0" fillId="11" borderId="1" xfId="0" applyFill="1" applyBorder="1"/>
    <xf numFmtId="0" fontId="1" fillId="11" borderId="1" xfId="0" applyFont="1" applyFill="1" applyBorder="1"/>
    <xf numFmtId="0" fontId="5" fillId="11" borderId="1" xfId="0" applyFont="1" applyFill="1" applyBorder="1" applyAlignment="1" applyProtection="1">
      <alignment vertical="center"/>
      <protection locked="0"/>
    </xf>
    <xf numFmtId="0" fontId="5" fillId="11" borderId="1" xfId="0" applyFont="1" applyFill="1" applyBorder="1" applyAlignment="1" applyProtection="1">
      <alignment horizontal="right" vertical="center"/>
      <protection locked="0"/>
    </xf>
    <xf numFmtId="0" fontId="5" fillId="11" borderId="1" xfId="0" applyFont="1" applyFill="1" applyBorder="1" applyAlignment="1">
      <alignment vertical="center"/>
    </xf>
    <xf numFmtId="0" fontId="5" fillId="11" borderId="1" xfId="0" quotePrefix="1" applyFont="1" applyFill="1" applyBorder="1" applyAlignment="1" applyProtection="1">
      <alignment horizontal="right" vertical="center"/>
      <protection locked="0"/>
    </xf>
    <xf numFmtId="0" fontId="5" fillId="11" borderId="0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 wrapText="1"/>
    </xf>
    <xf numFmtId="1" fontId="5" fillId="11" borderId="1" xfId="0" quotePrefix="1" applyNumberFormat="1" applyFont="1" applyFill="1" applyBorder="1" applyAlignment="1">
      <alignment horizontal="right" vertical="center"/>
    </xf>
    <xf numFmtId="1" fontId="5" fillId="11" borderId="1" xfId="0" applyNumberFormat="1" applyFont="1" applyFill="1" applyBorder="1" applyAlignment="1">
      <alignment vertical="center"/>
    </xf>
    <xf numFmtId="1" fontId="5" fillId="11" borderId="1" xfId="0" applyNumberFormat="1" applyFont="1" applyFill="1" applyBorder="1" applyAlignment="1">
      <alignment horizontal="center" vertical="center"/>
    </xf>
    <xf numFmtId="0" fontId="5" fillId="11" borderId="1" xfId="0" quotePrefix="1" applyFont="1" applyFill="1" applyBorder="1" applyAlignment="1" applyProtection="1">
      <alignment vertical="center"/>
      <protection locked="0"/>
    </xf>
    <xf numFmtId="3" fontId="5" fillId="11" borderId="1" xfId="0" quotePrefix="1" applyNumberFormat="1" applyFont="1" applyFill="1" applyBorder="1" applyAlignment="1" applyProtection="1">
      <alignment horizontal="right" vertical="center"/>
      <protection locked="0"/>
    </xf>
    <xf numFmtId="0" fontId="5" fillId="11" borderId="1" xfId="0" quotePrefix="1" applyNumberFormat="1" applyFont="1" applyFill="1" applyBorder="1" applyAlignment="1" applyProtection="1">
      <alignment horizontal="right" vertical="center"/>
      <protection locked="0"/>
    </xf>
    <xf numFmtId="0" fontId="6" fillId="11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wrapText="1"/>
    </xf>
    <xf numFmtId="0" fontId="0" fillId="0" borderId="6" xfId="0" applyFill="1" applyBorder="1"/>
    <xf numFmtId="0" fontId="0" fillId="2" borderId="6" xfId="0" applyFill="1" applyBorder="1"/>
    <xf numFmtId="0" fontId="0" fillId="0" borderId="5" xfId="0" applyFill="1" applyBorder="1"/>
    <xf numFmtId="0" fontId="0" fillId="2" borderId="5" xfId="0" applyFill="1" applyBorder="1"/>
    <xf numFmtId="0" fontId="0" fillId="6" borderId="5" xfId="0" applyFill="1" applyBorder="1"/>
    <xf numFmtId="0" fontId="1" fillId="0" borderId="5" xfId="0" applyFont="1" applyFill="1" applyBorder="1"/>
    <xf numFmtId="0" fontId="0" fillId="11" borderId="5" xfId="0" applyFill="1" applyBorder="1"/>
    <xf numFmtId="0" fontId="5" fillId="11" borderId="1" xfId="0" applyFont="1" applyFill="1" applyBorder="1" applyAlignment="1">
      <alignment horizontal="center" vertical="center" wrapText="1"/>
    </xf>
    <xf numFmtId="14" fontId="5" fillId="11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11" borderId="5" xfId="0" applyFont="1" applyFill="1" applyBorder="1" applyAlignment="1">
      <alignment vertical="center" wrapText="1"/>
    </xf>
    <xf numFmtId="14" fontId="5" fillId="11" borderId="5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0" fillId="5" borderId="5" xfId="0" applyFill="1" applyBorder="1"/>
    <xf numFmtId="0" fontId="1" fillId="11" borderId="5" xfId="0" applyFont="1" applyFill="1" applyBorder="1"/>
    <xf numFmtId="0" fontId="5" fillId="11" borderId="5" xfId="0" applyFont="1" applyFill="1" applyBorder="1" applyAlignment="1" applyProtection="1">
      <alignment vertical="center"/>
      <protection locked="0"/>
    </xf>
    <xf numFmtId="0" fontId="5" fillId="11" borderId="5" xfId="0" applyFont="1" applyFill="1" applyBorder="1" applyAlignment="1" applyProtection="1">
      <alignment horizontal="right" vertical="center"/>
      <protection locked="0"/>
    </xf>
    <xf numFmtId="0" fontId="5" fillId="11" borderId="5" xfId="0" quotePrefix="1" applyNumberFormat="1" applyFont="1" applyFill="1" applyBorder="1" applyAlignment="1" applyProtection="1">
      <alignment horizontal="right" vertical="center"/>
      <protection locked="0"/>
    </xf>
    <xf numFmtId="0" fontId="5" fillId="11" borderId="5" xfId="0" quotePrefix="1" applyFont="1" applyFill="1" applyBorder="1" applyAlignment="1" applyProtection="1">
      <alignment horizontal="right" vertical="center"/>
      <protection locked="0"/>
    </xf>
    <xf numFmtId="0" fontId="5" fillId="11" borderId="6" xfId="0" applyFont="1" applyFill="1" applyBorder="1" applyAlignment="1">
      <alignment vertical="center"/>
    </xf>
    <xf numFmtId="0" fontId="0" fillId="3" borderId="5" xfId="0" applyFill="1" applyBorder="1"/>
    <xf numFmtId="0" fontId="0" fillId="11" borderId="1" xfId="0" applyNumberFormat="1" applyFill="1" applyBorder="1"/>
    <xf numFmtId="164" fontId="0" fillId="11" borderId="1" xfId="1" applyFont="1" applyFill="1" applyBorder="1"/>
    <xf numFmtId="0" fontId="18" fillId="0" borderId="1" xfId="0" applyFont="1" applyBorder="1" applyAlignment="1">
      <alignment horizontal="center"/>
    </xf>
    <xf numFmtId="0" fontId="19" fillId="11" borderId="1" xfId="0" applyFont="1" applyFill="1" applyBorder="1" applyAlignment="1" applyProtection="1">
      <alignment horizontal="right" vertical="center"/>
      <protection locked="0"/>
    </xf>
    <xf numFmtId="0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11" borderId="1" xfId="0" applyFont="1" applyFill="1" applyBorder="1" applyAlignment="1">
      <alignment horizontal="right" vertical="center"/>
    </xf>
    <xf numFmtId="0" fontId="18" fillId="11" borderId="1" xfId="0" applyNumberFormat="1" applyFont="1" applyFill="1" applyBorder="1" applyAlignment="1">
      <alignment horizontal="right" vertical="center"/>
    </xf>
    <xf numFmtId="164" fontId="18" fillId="11" borderId="1" xfId="1" applyFont="1" applyFill="1" applyBorder="1" applyAlignment="1">
      <alignment horizontal="right" vertical="center"/>
    </xf>
    <xf numFmtId="0" fontId="19" fillId="11" borderId="1" xfId="0" applyFont="1" applyFill="1" applyBorder="1" applyAlignment="1">
      <alignment horizontal="right" vertical="center"/>
    </xf>
    <xf numFmtId="0" fontId="17" fillId="10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right" vertical="center"/>
    </xf>
    <xf numFmtId="0" fontId="18" fillId="12" borderId="1" xfId="0" applyNumberFormat="1" applyFont="1" applyFill="1" applyBorder="1" applyAlignment="1">
      <alignment horizontal="right" vertical="center"/>
    </xf>
    <xf numFmtId="0" fontId="0" fillId="12" borderId="1" xfId="0" applyNumberFormat="1" applyFill="1" applyBorder="1"/>
    <xf numFmtId="0" fontId="0" fillId="12" borderId="1" xfId="0" applyFill="1" applyBorder="1"/>
    <xf numFmtId="0" fontId="5" fillId="12" borderId="1" xfId="0" applyFont="1" applyFill="1" applyBorder="1" applyAlignment="1" applyProtection="1">
      <alignment horizontal="right" vertical="center"/>
      <protection locked="0"/>
    </xf>
    <xf numFmtId="0" fontId="5" fillId="12" borderId="1" xfId="0" applyFont="1" applyFill="1" applyBorder="1" applyAlignment="1">
      <alignment vertical="center"/>
    </xf>
    <xf numFmtId="164" fontId="0" fillId="12" borderId="1" xfId="1" applyFont="1" applyFill="1" applyBorder="1"/>
    <xf numFmtId="164" fontId="18" fillId="12" borderId="1" xfId="1" applyFont="1" applyFill="1" applyBorder="1" applyAlignment="1">
      <alignment horizontal="right" vertical="center"/>
    </xf>
    <xf numFmtId="0" fontId="19" fillId="12" borderId="1" xfId="0" applyFont="1" applyFill="1" applyBorder="1" applyAlignment="1" applyProtection="1">
      <alignment horizontal="right" vertical="center"/>
      <protection locked="0"/>
    </xf>
    <xf numFmtId="10" fontId="18" fillId="12" borderId="1" xfId="0" applyNumberFormat="1" applyFont="1" applyFill="1" applyBorder="1" applyAlignment="1">
      <alignment horizontal="right" vertical="center"/>
    </xf>
    <xf numFmtId="0" fontId="19" fillId="12" borderId="1" xfId="0" quotePrefix="1" applyFont="1" applyFill="1" applyBorder="1" applyAlignment="1" applyProtection="1">
      <alignment horizontal="right" vertical="center"/>
      <protection locked="0"/>
    </xf>
    <xf numFmtId="10" fontId="0" fillId="12" borderId="1" xfId="0" applyNumberFormat="1" applyFill="1" applyBorder="1"/>
    <xf numFmtId="0" fontId="11" fillId="13" borderId="1" xfId="0" applyFont="1" applyFill="1" applyBorder="1" applyAlignment="1">
      <alignment horizontal="center" vertical="center"/>
    </xf>
    <xf numFmtId="10" fontId="18" fillId="13" borderId="1" xfId="0" applyNumberFormat="1" applyFont="1" applyFill="1" applyBorder="1" applyAlignment="1">
      <alignment horizontal="right" vertical="center"/>
    </xf>
    <xf numFmtId="10" fontId="0" fillId="13" borderId="1" xfId="0" applyNumberFormat="1" applyFill="1" applyBorder="1"/>
    <xf numFmtId="0" fontId="18" fillId="0" borderId="1" xfId="0" applyFont="1" applyFill="1" applyBorder="1" applyAlignment="1">
      <alignment vertical="center" wrapText="1"/>
    </xf>
    <xf numFmtId="0" fontId="5" fillId="14" borderId="0" xfId="0" applyFont="1" applyFill="1" applyBorder="1" applyAlignment="1">
      <alignment vertical="center"/>
    </xf>
    <xf numFmtId="10" fontId="18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18" fillId="0" borderId="0" xfId="0" applyFont="1" applyBorder="1" applyAlignment="1">
      <alignment wrapText="1"/>
    </xf>
    <xf numFmtId="0" fontId="5" fillId="14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8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1" fillId="1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vertical="top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/>
    <xf numFmtId="0" fontId="9" fillId="0" borderId="0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vertical="center"/>
    </xf>
    <xf numFmtId="0" fontId="5" fillId="14" borderId="3" xfId="0" applyFont="1" applyFill="1" applyBorder="1" applyAlignment="1">
      <alignment vertical="center"/>
    </xf>
    <xf numFmtId="0" fontId="5" fillId="14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16" borderId="1" xfId="0" applyFont="1" applyFill="1" applyBorder="1" applyAlignment="1">
      <alignment vertical="center"/>
    </xf>
    <xf numFmtId="165" fontId="5" fillId="16" borderId="1" xfId="0" applyNumberFormat="1" applyFont="1" applyFill="1" applyBorder="1" applyAlignment="1">
      <alignment vertical="center"/>
    </xf>
    <xf numFmtId="165" fontId="5" fillId="16" borderId="1" xfId="0" applyNumberFormat="1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5" fillId="16" borderId="1" xfId="0" applyFont="1" applyFill="1" applyBorder="1" applyAlignment="1" applyProtection="1">
      <alignment horizontal="right" vertical="center"/>
      <protection locked="0"/>
    </xf>
    <xf numFmtId="0" fontId="5" fillId="17" borderId="1" xfId="0" applyFont="1" applyFill="1" applyBorder="1" applyAlignment="1">
      <alignment vertical="center"/>
    </xf>
    <xf numFmtId="165" fontId="5" fillId="11" borderId="1" xfId="0" applyNumberFormat="1" applyFont="1" applyFill="1" applyBorder="1" applyAlignment="1">
      <alignment vertical="center"/>
    </xf>
    <xf numFmtId="0" fontId="34" fillId="0" borderId="1" xfId="0" applyFont="1" applyFill="1" applyBorder="1" applyAlignment="1" applyProtection="1">
      <alignment vertical="center"/>
      <protection locked="0"/>
    </xf>
    <xf numFmtId="0" fontId="34" fillId="0" borderId="1" xfId="0" applyFont="1" applyFill="1" applyBorder="1" applyAlignment="1">
      <alignment vertical="center"/>
    </xf>
    <xf numFmtId="165" fontId="34" fillId="0" borderId="1" xfId="0" applyNumberFormat="1" applyFont="1" applyFill="1" applyBorder="1" applyAlignment="1">
      <alignment vertical="center"/>
    </xf>
    <xf numFmtId="0" fontId="34" fillId="16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165" fontId="34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>
      <alignment horizontal="right" vertical="center"/>
    </xf>
    <xf numFmtId="165" fontId="5" fillId="11" borderId="5" xfId="0" applyNumberFormat="1" applyFont="1" applyFill="1" applyBorder="1" applyAlignment="1">
      <alignment horizontal="right" vertical="center"/>
    </xf>
    <xf numFmtId="0" fontId="5" fillId="16" borderId="5" xfId="0" applyFont="1" applyFill="1" applyBorder="1" applyAlignment="1">
      <alignment horizontal="right" vertical="center"/>
    </xf>
    <xf numFmtId="165" fontId="5" fillId="16" borderId="5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0" fontId="35" fillId="0" borderId="12" xfId="0" applyFont="1" applyFill="1" applyBorder="1" applyAlignment="1">
      <alignment horizontal="left" vertical="center"/>
    </xf>
    <xf numFmtId="0" fontId="35" fillId="0" borderId="12" xfId="0" applyFont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1" fillId="0" borderId="0" xfId="0" applyFont="1" applyBorder="1" applyAlignment="1">
      <alignment vertical="center"/>
    </xf>
    <xf numFmtId="165" fontId="31" fillId="0" borderId="0" xfId="0" applyNumberFormat="1" applyFont="1" applyFill="1" applyBorder="1" applyAlignment="1">
      <alignment horizontal="left" vertical="center"/>
    </xf>
    <xf numFmtId="0" fontId="31" fillId="17" borderId="0" xfId="0" applyFont="1" applyFill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1" fillId="11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>
      <alignment vertical="center"/>
    </xf>
    <xf numFmtId="0" fontId="5" fillId="11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/>
    </xf>
    <xf numFmtId="0" fontId="5" fillId="18" borderId="1" xfId="0" applyFont="1" applyFill="1" applyBorder="1" applyAlignment="1">
      <alignment horizontal="right" vertical="center"/>
    </xf>
    <xf numFmtId="0" fontId="5" fillId="11" borderId="5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5" fillId="16" borderId="1" xfId="0" applyNumberFormat="1" applyFont="1" applyFill="1" applyBorder="1" applyAlignment="1">
      <alignment horizontal="right" vertical="center"/>
    </xf>
    <xf numFmtId="165" fontId="5" fillId="11" borderId="1" xfId="0" applyNumberFormat="1" applyFont="1" applyFill="1" applyBorder="1" applyAlignment="1">
      <alignment horizontal="right" vertical="center"/>
    </xf>
    <xf numFmtId="166" fontId="4" fillId="15" borderId="1" xfId="0" applyNumberFormat="1" applyFont="1" applyFill="1" applyBorder="1" applyAlignment="1">
      <alignment vertical="center"/>
    </xf>
    <xf numFmtId="167" fontId="4" fillId="15" borderId="1" xfId="0" applyNumberFormat="1" applyFont="1" applyFill="1" applyBorder="1" applyAlignment="1">
      <alignment vertical="center"/>
    </xf>
    <xf numFmtId="168" fontId="4" fillId="15" borderId="1" xfId="0" applyNumberFormat="1" applyFont="1" applyFill="1" applyBorder="1" applyAlignment="1">
      <alignment vertical="center"/>
    </xf>
    <xf numFmtId="0" fontId="19" fillId="11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vertical="center" wrapText="1"/>
    </xf>
    <xf numFmtId="165" fontId="5" fillId="13" borderId="1" xfId="0" applyNumberFormat="1" applyFont="1" applyFill="1" applyBorder="1" applyAlignment="1">
      <alignment horizontal="right" vertical="center"/>
    </xf>
    <xf numFmtId="0" fontId="5" fillId="18" borderId="1" xfId="0" applyFont="1" applyFill="1" applyBorder="1" applyAlignment="1">
      <alignment vertical="center"/>
    </xf>
    <xf numFmtId="165" fontId="5" fillId="18" borderId="1" xfId="0" applyNumberFormat="1" applyFont="1" applyFill="1" applyBorder="1" applyAlignment="1">
      <alignment vertical="center"/>
    </xf>
    <xf numFmtId="0" fontId="5" fillId="18" borderId="1" xfId="0" applyFont="1" applyFill="1" applyBorder="1" applyAlignment="1" applyProtection="1">
      <alignment horizontal="right" vertical="center"/>
      <protection locked="0"/>
    </xf>
    <xf numFmtId="168" fontId="5" fillId="0" borderId="1" xfId="0" applyNumberFormat="1" applyFont="1" applyBorder="1" applyAlignment="1">
      <alignment vertical="center"/>
    </xf>
    <xf numFmtId="0" fontId="5" fillId="11" borderId="1" xfId="0" applyFont="1" applyFill="1" applyBorder="1" applyAlignment="1">
      <alignment horizontal="right" vertical="center"/>
    </xf>
    <xf numFmtId="165" fontId="5" fillId="18" borderId="1" xfId="0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 applyProtection="1">
      <alignment horizontal="right" vertical="center"/>
      <protection locked="0"/>
    </xf>
    <xf numFmtId="166" fontId="5" fillId="0" borderId="1" xfId="0" applyNumberFormat="1" applyFont="1" applyFill="1" applyBorder="1" applyAlignment="1">
      <alignment horizontal="right" vertical="center"/>
    </xf>
    <xf numFmtId="168" fontId="5" fillId="13" borderId="1" xfId="0" applyNumberFormat="1" applyFont="1" applyFill="1" applyBorder="1" applyAlignment="1">
      <alignment horizontal="right" vertical="center"/>
    </xf>
    <xf numFmtId="166" fontId="5" fillId="0" borderId="1" xfId="0" applyNumberFormat="1" applyFont="1" applyBorder="1" applyAlignment="1">
      <alignment vertical="center"/>
    </xf>
    <xf numFmtId="166" fontId="5" fillId="17" borderId="1" xfId="0" applyNumberFormat="1" applyFont="1" applyFill="1" applyBorder="1" applyAlignment="1">
      <alignment vertical="center"/>
    </xf>
    <xf numFmtId="0" fontId="19" fillId="11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vertical="center" wrapText="1"/>
    </xf>
    <xf numFmtId="165" fontId="5" fillId="13" borderId="5" xfId="0" applyNumberFormat="1" applyFont="1" applyFill="1" applyBorder="1" applyAlignment="1">
      <alignment horizontal="right" vertical="center"/>
    </xf>
    <xf numFmtId="0" fontId="5" fillId="18" borderId="5" xfId="0" applyFont="1" applyFill="1" applyBorder="1" applyAlignment="1">
      <alignment horizontal="right" vertical="center"/>
    </xf>
    <xf numFmtId="0" fontId="36" fillId="0" borderId="0" xfId="0" applyFont="1" applyFill="1" applyBorder="1" applyAlignment="1">
      <alignment vertical="center"/>
    </xf>
    <xf numFmtId="0" fontId="34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right" vertical="center" wrapText="1"/>
    </xf>
    <xf numFmtId="0" fontId="5" fillId="11" borderId="5" xfId="0" applyFont="1" applyFill="1" applyBorder="1" applyAlignment="1">
      <alignment horizontal="right" vertical="center" wrapText="1"/>
    </xf>
    <xf numFmtId="0" fontId="34" fillId="11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20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2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17" borderId="1" xfId="0" applyFont="1" applyFill="1" applyBorder="1" applyAlignment="1" applyProtection="1">
      <alignment vertical="center"/>
      <protection locked="0"/>
    </xf>
    <xf numFmtId="165" fontId="5" fillId="17" borderId="1" xfId="0" applyNumberFormat="1" applyFont="1" applyFill="1" applyBorder="1" applyAlignment="1">
      <alignment vertical="center"/>
    </xf>
    <xf numFmtId="0" fontId="5" fillId="17" borderId="1" xfId="0" applyFont="1" applyFill="1" applyBorder="1" applyAlignment="1">
      <alignment horizontal="right" vertical="center"/>
    </xf>
    <xf numFmtId="165" fontId="5" fillId="12" borderId="1" xfId="0" applyNumberFormat="1" applyFont="1" applyFill="1" applyBorder="1" applyAlignment="1">
      <alignment vertical="center"/>
    </xf>
    <xf numFmtId="165" fontId="5" fillId="12" borderId="1" xfId="0" applyNumberFormat="1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right" vertical="center"/>
    </xf>
    <xf numFmtId="165" fontId="5" fillId="17" borderId="1" xfId="0" applyNumberFormat="1" applyFont="1" applyFill="1" applyBorder="1" applyAlignment="1">
      <alignment horizontal="center" vertical="center"/>
    </xf>
    <xf numFmtId="0" fontId="4" fillId="21" borderId="2" xfId="0" applyFont="1" applyFill="1" applyBorder="1" applyAlignment="1">
      <alignment vertical="center"/>
    </xf>
    <xf numFmtId="0" fontId="4" fillId="21" borderId="3" xfId="0" applyFont="1" applyFill="1" applyBorder="1" applyAlignment="1">
      <alignment vertical="center"/>
    </xf>
    <xf numFmtId="0" fontId="4" fillId="21" borderId="4" xfId="0" applyFont="1" applyFill="1" applyBorder="1" applyAlignment="1">
      <alignment vertical="center"/>
    </xf>
    <xf numFmtId="165" fontId="5" fillId="11" borderId="1" xfId="0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5" fillId="11" borderId="2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5" fillId="17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vertical="center"/>
    </xf>
    <xf numFmtId="0" fontId="4" fillId="15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vertical="center"/>
      <protection locked="0"/>
    </xf>
    <xf numFmtId="0" fontId="19" fillId="11" borderId="1" xfId="0" applyFont="1" applyFill="1" applyBorder="1" applyAlignment="1">
      <alignment vertical="center"/>
    </xf>
    <xf numFmtId="165" fontId="19" fillId="13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11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>
      <alignment vertical="center"/>
    </xf>
    <xf numFmtId="0" fontId="19" fillId="16" borderId="1" xfId="0" applyFont="1" applyFill="1" applyBorder="1" applyAlignment="1">
      <alignment vertical="center"/>
    </xf>
    <xf numFmtId="165" fontId="19" fillId="16" borderId="1" xfId="0" applyNumberFormat="1" applyFont="1" applyFill="1" applyBorder="1" applyAlignment="1">
      <alignment vertical="center"/>
    </xf>
    <xf numFmtId="0" fontId="5" fillId="17" borderId="1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>
      <alignment vertical="center"/>
    </xf>
    <xf numFmtId="0" fontId="19" fillId="22" borderId="2" xfId="0" applyFont="1" applyFill="1" applyBorder="1" applyAlignment="1">
      <alignment vertical="center"/>
    </xf>
    <xf numFmtId="0" fontId="19" fillId="22" borderId="3" xfId="0" applyFont="1" applyFill="1" applyBorder="1" applyAlignment="1">
      <alignment vertical="center"/>
    </xf>
    <xf numFmtId="0" fontId="19" fillId="22" borderId="4" xfId="0" applyFont="1" applyFill="1" applyBorder="1" applyAlignment="1">
      <alignment vertical="center"/>
    </xf>
    <xf numFmtId="0" fontId="34" fillId="11" borderId="1" xfId="0" applyFont="1" applyFill="1" applyBorder="1" applyAlignment="1">
      <alignment vertical="center" wrapText="1"/>
    </xf>
    <xf numFmtId="165" fontId="19" fillId="0" borderId="1" xfId="0" applyNumberFormat="1" applyFont="1" applyFill="1" applyBorder="1" applyAlignment="1">
      <alignment vertical="center"/>
    </xf>
    <xf numFmtId="0" fontId="19" fillId="17" borderId="1" xfId="0" applyFont="1" applyFill="1" applyBorder="1" applyAlignment="1">
      <alignment vertical="center"/>
    </xf>
    <xf numFmtId="166" fontId="19" fillId="16" borderId="1" xfId="0" applyNumberFormat="1" applyFont="1" applyFill="1" applyBorder="1" applyAlignment="1">
      <alignment vertical="center"/>
    </xf>
    <xf numFmtId="166" fontId="19" fillId="0" borderId="1" xfId="0" applyNumberFormat="1" applyFont="1" applyFill="1" applyBorder="1" applyAlignment="1" applyProtection="1">
      <alignment vertical="center"/>
      <protection locked="0"/>
    </xf>
    <xf numFmtId="166" fontId="19" fillId="0" borderId="1" xfId="0" applyNumberFormat="1" applyFont="1" applyFill="1" applyBorder="1" applyAlignment="1">
      <alignment vertical="center"/>
    </xf>
    <xf numFmtId="166" fontId="19" fillId="0" borderId="1" xfId="0" applyNumberFormat="1" applyFont="1" applyBorder="1" applyAlignment="1">
      <alignment vertical="center"/>
    </xf>
    <xf numFmtId="168" fontId="19" fillId="16" borderId="1" xfId="0" applyNumberFormat="1" applyFont="1" applyFill="1" applyBorder="1" applyAlignment="1">
      <alignment vertical="center"/>
    </xf>
    <xf numFmtId="168" fontId="19" fillId="0" borderId="1" xfId="0" applyNumberFormat="1" applyFont="1" applyBorder="1" applyAlignment="1">
      <alignment vertical="center"/>
    </xf>
    <xf numFmtId="165" fontId="19" fillId="11" borderId="1" xfId="0" applyNumberFormat="1" applyFont="1" applyFill="1" applyBorder="1" applyAlignment="1">
      <alignment vertical="center"/>
    </xf>
    <xf numFmtId="166" fontId="19" fillId="17" borderId="1" xfId="0" applyNumberFormat="1" applyFont="1" applyFill="1" applyBorder="1" applyAlignment="1">
      <alignment vertical="center"/>
    </xf>
    <xf numFmtId="0" fontId="18" fillId="16" borderId="1" xfId="0" applyFont="1" applyFill="1" applyBorder="1" applyAlignment="1">
      <alignment vertical="center"/>
    </xf>
    <xf numFmtId="0" fontId="37" fillId="11" borderId="1" xfId="0" applyFont="1" applyFill="1" applyBorder="1" applyAlignment="1">
      <alignment vertical="center" wrapText="1"/>
    </xf>
    <xf numFmtId="0" fontId="19" fillId="0" borderId="5" xfId="0" applyFont="1" applyFill="1" applyBorder="1" applyAlignment="1" applyProtection="1">
      <alignment vertical="center"/>
      <protection locked="0"/>
    </xf>
    <xf numFmtId="0" fontId="19" fillId="11" borderId="5" xfId="0" applyFont="1" applyFill="1" applyBorder="1" applyAlignment="1">
      <alignment vertical="center"/>
    </xf>
    <xf numFmtId="165" fontId="19" fillId="13" borderId="5" xfId="0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17" borderId="5" xfId="0" applyFont="1" applyFill="1" applyBorder="1" applyAlignment="1">
      <alignment vertical="center"/>
    </xf>
    <xf numFmtId="165" fontId="19" fillId="0" borderId="5" xfId="0" applyNumberFormat="1" applyFont="1" applyBorder="1" applyAlignment="1">
      <alignment vertical="center"/>
    </xf>
    <xf numFmtId="0" fontId="38" fillId="0" borderId="0" xfId="0" applyFont="1" applyFill="1" applyBorder="1" applyAlignment="1">
      <alignment horizontal="left" vertical="center"/>
    </xf>
    <xf numFmtId="0" fontId="38" fillId="0" borderId="0" xfId="0" applyFont="1" applyBorder="1" applyAlignment="1">
      <alignment vertical="center"/>
    </xf>
    <xf numFmtId="0" fontId="38" fillId="11" borderId="0" xfId="0" applyFont="1" applyFill="1" applyBorder="1" applyAlignment="1">
      <alignment vertical="center"/>
    </xf>
    <xf numFmtId="165" fontId="36" fillId="0" borderId="0" xfId="0" applyNumberFormat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11" borderId="0" xfId="0" applyFont="1" applyFill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/>
    </xf>
    <xf numFmtId="165" fontId="34" fillId="16" borderId="1" xfId="0" applyNumberFormat="1" applyFont="1" applyFill="1" applyBorder="1" applyAlignment="1">
      <alignment horizontal="right" vertical="center"/>
    </xf>
    <xf numFmtId="0" fontId="4" fillId="14" borderId="2" xfId="0" applyFont="1" applyFill="1" applyBorder="1" applyAlignment="1">
      <alignment vertical="center"/>
    </xf>
    <xf numFmtId="0" fontId="4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right" vertical="center"/>
    </xf>
    <xf numFmtId="0" fontId="5" fillId="14" borderId="3" xfId="0" applyFont="1" applyFill="1" applyBorder="1" applyAlignment="1">
      <alignment horizontal="right" vertical="center"/>
    </xf>
    <xf numFmtId="0" fontId="5" fillId="14" borderId="4" xfId="0" applyFont="1" applyFill="1" applyBorder="1" applyAlignment="1">
      <alignment horizontal="right" vertical="center"/>
    </xf>
    <xf numFmtId="165" fontId="5" fillId="0" borderId="5" xfId="0" applyNumberFormat="1" applyFont="1" applyFill="1" applyBorder="1" applyAlignment="1">
      <alignment horizontal="right" vertical="center"/>
    </xf>
    <xf numFmtId="0" fontId="5" fillId="17" borderId="5" xfId="0" applyFont="1" applyFill="1" applyBorder="1" applyAlignment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0" fontId="39" fillId="0" borderId="0" xfId="0" applyFont="1" applyFill="1" applyBorder="1" applyAlignment="1">
      <alignment horizontal="left" vertical="center"/>
    </xf>
    <xf numFmtId="0" fontId="39" fillId="0" borderId="0" xfId="0" quotePrefix="1" applyFont="1" applyFill="1" applyBorder="1" applyAlignment="1">
      <alignment horizontal="left" vertical="center"/>
    </xf>
    <xf numFmtId="0" fontId="39" fillId="0" borderId="0" xfId="0" applyFont="1" applyFill="1" applyBorder="1" applyAlignment="1">
      <alignment vertical="center"/>
    </xf>
    <xf numFmtId="0" fontId="39" fillId="0" borderId="0" xfId="0" quotePrefix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23" borderId="2" xfId="0" applyFont="1" applyFill="1" applyBorder="1" applyAlignment="1">
      <alignment horizontal="right" vertical="center"/>
    </xf>
    <xf numFmtId="0" fontId="5" fillId="23" borderId="3" xfId="0" applyFont="1" applyFill="1" applyBorder="1" applyAlignment="1">
      <alignment horizontal="right" vertical="center"/>
    </xf>
    <xf numFmtId="0" fontId="5" fillId="23" borderId="1" xfId="0" applyFont="1" applyFill="1" applyBorder="1" applyAlignment="1">
      <alignment horizontal="right" vertical="center"/>
    </xf>
    <xf numFmtId="165" fontId="5" fillId="23" borderId="1" xfId="0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wrapText="1"/>
    </xf>
    <xf numFmtId="0" fontId="5" fillId="16" borderId="5" xfId="0" applyFont="1" applyFill="1" applyBorder="1" applyAlignment="1">
      <alignment vertical="center"/>
    </xf>
    <xf numFmtId="0" fontId="5" fillId="11" borderId="5" xfId="0" applyFont="1" applyFill="1" applyBorder="1" applyAlignment="1">
      <alignment vertical="center"/>
    </xf>
    <xf numFmtId="165" fontId="5" fillId="16" borderId="5" xfId="0" applyNumberFormat="1" applyFont="1" applyFill="1" applyBorder="1" applyAlignment="1">
      <alignment vertical="center"/>
    </xf>
    <xf numFmtId="165" fontId="5" fillId="11" borderId="5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center"/>
    </xf>
    <xf numFmtId="0" fontId="36" fillId="0" borderId="0" xfId="0" applyFont="1" applyBorder="1"/>
    <xf numFmtId="0" fontId="19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164" fontId="18" fillId="2" borderId="1" xfId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0" fontId="0" fillId="2" borderId="1" xfId="0" applyNumberFormat="1" applyFill="1" applyBorder="1" applyAlignment="1">
      <alignment vertical="center"/>
    </xf>
    <xf numFmtId="164" fontId="0" fillId="2" borderId="1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wrapText="1"/>
    </xf>
    <xf numFmtId="0" fontId="23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11" borderId="1" xfId="0" applyFont="1" applyFill="1" applyBorder="1" applyAlignment="1">
      <alignment vertical="center"/>
    </xf>
    <xf numFmtId="165" fontId="25" fillId="11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6" fillId="10" borderId="1" xfId="0" applyFont="1" applyFill="1" applyBorder="1" applyAlignment="1">
      <alignment vertical="center"/>
    </xf>
    <xf numFmtId="165" fontId="26" fillId="10" borderId="1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43" fillId="0" borderId="0" xfId="2" applyFont="1" applyFill="1" applyBorder="1" applyAlignment="1">
      <alignment vertical="center"/>
    </xf>
    <xf numFmtId="0" fontId="0" fillId="2" borderId="1" xfId="0" applyNumberFormat="1" applyFill="1" applyBorder="1"/>
    <xf numFmtId="0" fontId="19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2" fontId="18" fillId="11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/>
    </xf>
    <xf numFmtId="2" fontId="19" fillId="0" borderId="1" xfId="0" applyNumberFormat="1" applyFont="1" applyFill="1" applyBorder="1" applyAlignment="1">
      <alignment horizontal="right" vertical="center"/>
    </xf>
    <xf numFmtId="0" fontId="44" fillId="0" borderId="0" xfId="0" applyFont="1"/>
    <xf numFmtId="0" fontId="0" fillId="11" borderId="0" xfId="0" applyFill="1"/>
    <xf numFmtId="0" fontId="44" fillId="0" borderId="0" xfId="0" applyFont="1" applyAlignment="1">
      <alignment vertical="center"/>
    </xf>
    <xf numFmtId="0" fontId="47" fillId="0" borderId="0" xfId="0" applyFont="1"/>
    <xf numFmtId="0" fontId="25" fillId="11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left" vertical="center" wrapText="1"/>
    </xf>
    <xf numFmtId="0" fontId="16" fillId="10" borderId="1" xfId="0" applyFont="1" applyFill="1" applyBorder="1" applyAlignment="1">
      <alignment horizontal="center" vertical="center"/>
    </xf>
    <xf numFmtId="0" fontId="18" fillId="0" borderId="12" xfId="0" applyFont="1" applyBorder="1" applyAlignment="1">
      <alignment wrapText="1"/>
    </xf>
    <xf numFmtId="0" fontId="50" fillId="25" borderId="1" xfId="0" applyFont="1" applyFill="1" applyBorder="1" applyAlignment="1">
      <alignment vertical="center" wrapText="1"/>
    </xf>
    <xf numFmtId="0" fontId="50" fillId="0" borderId="1" xfId="0" applyFont="1" applyBorder="1" applyAlignment="1">
      <alignment horizontal="right" vertical="center"/>
    </xf>
    <xf numFmtId="0" fontId="50" fillId="11" borderId="1" xfId="0" applyFont="1" applyFill="1" applyBorder="1" applyAlignment="1">
      <alignment horizontal="right" vertical="center"/>
    </xf>
    <xf numFmtId="0" fontId="49" fillId="0" borderId="1" xfId="0" applyFont="1" applyBorder="1" applyAlignment="1">
      <alignment vertical="center"/>
    </xf>
    <xf numFmtId="0" fontId="50" fillId="0" borderId="1" xfId="0" applyNumberFormat="1" applyFont="1" applyBorder="1" applyAlignment="1">
      <alignment horizontal="right" vertical="center"/>
    </xf>
    <xf numFmtId="10" fontId="50" fillId="0" borderId="1" xfId="5" applyNumberFormat="1" applyFont="1" applyBorder="1" applyAlignment="1">
      <alignment horizontal="right" vertical="center"/>
    </xf>
    <xf numFmtId="10" fontId="50" fillId="16" borderId="1" xfId="5" applyNumberFormat="1" applyFont="1" applyFill="1" applyBorder="1" applyAlignment="1">
      <alignment horizontal="right" vertical="center"/>
    </xf>
    <xf numFmtId="0" fontId="49" fillId="0" borderId="1" xfId="0" applyFont="1" applyBorder="1" applyAlignment="1">
      <alignment horizontal="right" vertical="center"/>
    </xf>
    <xf numFmtId="0" fontId="50" fillId="11" borderId="1" xfId="0" applyFont="1" applyFill="1" applyBorder="1" applyAlignment="1">
      <alignment horizontal="right" vertical="center" wrapText="1"/>
    </xf>
    <xf numFmtId="0" fontId="49" fillId="16" borderId="1" xfId="0" applyFont="1" applyFill="1" applyBorder="1" applyAlignment="1">
      <alignment horizontal="right" vertical="center"/>
    </xf>
    <xf numFmtId="0" fontId="52" fillId="16" borderId="1" xfId="0" applyFont="1" applyFill="1" applyBorder="1" applyAlignment="1">
      <alignment horizontal="right" vertical="center"/>
    </xf>
    <xf numFmtId="0" fontId="25" fillId="11" borderId="1" xfId="0" applyFont="1" applyFill="1" applyBorder="1" applyAlignment="1">
      <alignment horizontal="left" vertical="center"/>
    </xf>
    <xf numFmtId="10" fontId="50" fillId="0" borderId="1" xfId="5" applyNumberFormat="1" applyFont="1" applyBorder="1" applyAlignment="1">
      <alignment vertical="center"/>
    </xf>
    <xf numFmtId="0" fontId="49" fillId="0" borderId="1" xfId="0" applyFont="1" applyFill="1" applyBorder="1" applyAlignment="1">
      <alignment vertical="center" wrapText="1"/>
    </xf>
    <xf numFmtId="0" fontId="50" fillId="0" borderId="1" xfId="0" applyFont="1" applyBorder="1" applyAlignment="1">
      <alignment vertical="center"/>
    </xf>
    <xf numFmtId="0" fontId="49" fillId="24" borderId="1" xfId="0" applyFont="1" applyFill="1" applyBorder="1" applyAlignment="1">
      <alignment vertical="center" wrapText="1"/>
    </xf>
    <xf numFmtId="0" fontId="50" fillId="25" borderId="1" xfId="0" applyFont="1" applyFill="1" applyBorder="1" applyAlignment="1">
      <alignment vertical="center"/>
    </xf>
    <xf numFmtId="0" fontId="50" fillId="11" borderId="1" xfId="0" applyFont="1" applyFill="1" applyBorder="1" applyAlignment="1">
      <alignment vertical="center" wrapText="1"/>
    </xf>
    <xf numFmtId="0" fontId="50" fillId="11" borderId="1" xfId="0" applyFont="1" applyFill="1" applyBorder="1" applyAlignment="1">
      <alignment vertical="center"/>
    </xf>
    <xf numFmtId="0" fontId="50" fillId="0" borderId="1" xfId="0" applyNumberFormat="1" applyFont="1" applyBorder="1" applyAlignment="1">
      <alignment vertical="center"/>
    </xf>
    <xf numFmtId="0" fontId="50" fillId="11" borderId="1" xfId="0" applyNumberFormat="1" applyFont="1" applyFill="1" applyBorder="1" applyAlignment="1">
      <alignment vertical="center"/>
    </xf>
    <xf numFmtId="0" fontId="49" fillId="16" borderId="1" xfId="0" applyFont="1" applyFill="1" applyBorder="1" applyAlignment="1">
      <alignment vertical="center"/>
    </xf>
    <xf numFmtId="0" fontId="50" fillId="0" borderId="1" xfId="0" applyNumberFormat="1" applyFont="1" applyFill="1" applyBorder="1" applyAlignment="1">
      <alignment vertical="center"/>
    </xf>
    <xf numFmtId="0" fontId="50" fillId="16" borderId="1" xfId="0" applyFont="1" applyFill="1" applyBorder="1" applyAlignment="1">
      <alignment vertical="center"/>
    </xf>
    <xf numFmtId="0" fontId="50" fillId="27" borderId="1" xfId="0" applyFont="1" applyFill="1" applyBorder="1" applyAlignment="1">
      <alignment vertical="center"/>
    </xf>
    <xf numFmtId="10" fontId="50" fillId="16" borderId="1" xfId="5" applyNumberFormat="1" applyFont="1" applyFill="1" applyBorder="1" applyAlignment="1">
      <alignment vertical="center"/>
    </xf>
    <xf numFmtId="0" fontId="50" fillId="25" borderId="1" xfId="0" applyNumberFormat="1" applyFont="1" applyFill="1" applyBorder="1" applyAlignment="1">
      <alignment vertical="center"/>
    </xf>
    <xf numFmtId="0" fontId="52" fillId="16" borderId="1" xfId="0" applyFont="1" applyFill="1" applyBorder="1" applyAlignment="1">
      <alignment vertical="center"/>
    </xf>
    <xf numFmtId="0" fontId="52" fillId="16" borderId="1" xfId="0" applyNumberFormat="1" applyFont="1" applyFill="1" applyBorder="1" applyAlignment="1">
      <alignment vertical="center"/>
    </xf>
    <xf numFmtId="0" fontId="53" fillId="0" borderId="1" xfId="0" applyFont="1" applyBorder="1" applyAlignment="1">
      <alignment horizontal="right" vertical="center"/>
    </xf>
    <xf numFmtId="0" fontId="53" fillId="0" borderId="1" xfId="0" applyNumberFormat="1" applyFont="1" applyBorder="1" applyAlignment="1">
      <alignment horizontal="right" vertical="center"/>
    </xf>
    <xf numFmtId="0" fontId="49" fillId="0" borderId="1" xfId="0" applyNumberFormat="1" applyFont="1" applyBorder="1" applyAlignment="1">
      <alignment horizontal="right" vertical="center"/>
    </xf>
    <xf numFmtId="0" fontId="50" fillId="0" borderId="1" xfId="5" applyNumberFormat="1" applyFont="1" applyBorder="1" applyAlignment="1">
      <alignment horizontal="right" vertical="center"/>
    </xf>
    <xf numFmtId="0" fontId="54" fillId="2" borderId="1" xfId="0" applyFont="1" applyFill="1" applyBorder="1" applyAlignment="1">
      <alignment horizontal="right" vertical="center" wrapText="1"/>
    </xf>
    <xf numFmtId="10" fontId="54" fillId="2" borderId="1" xfId="5" applyNumberFormat="1" applyFont="1" applyFill="1" applyBorder="1" applyAlignment="1">
      <alignment horizontal="right" vertical="center"/>
    </xf>
    <xf numFmtId="0" fontId="0" fillId="15" borderId="0" xfId="0" applyFill="1"/>
    <xf numFmtId="0" fontId="16" fillId="15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50" fillId="11" borderId="1" xfId="0" applyFont="1" applyFill="1" applyBorder="1" applyAlignment="1">
      <alignment horizontal="center"/>
    </xf>
    <xf numFmtId="0" fontId="50" fillId="11" borderId="1" xfId="0" applyFont="1" applyFill="1" applyBorder="1" applyAlignment="1">
      <alignment horizontal="left" vertical="center" wrapText="1"/>
    </xf>
    <xf numFmtId="0" fontId="50" fillId="0" borderId="1" xfId="0" applyNumberFormat="1" applyFont="1" applyFill="1" applyBorder="1" applyAlignment="1">
      <alignment horizontal="right" vertical="center"/>
    </xf>
    <xf numFmtId="0" fontId="50" fillId="11" borderId="1" xfId="0" applyNumberFormat="1" applyFont="1" applyFill="1" applyBorder="1" applyAlignment="1">
      <alignment horizontal="right" vertical="center" wrapText="1"/>
    </xf>
    <xf numFmtId="0" fontId="53" fillId="0" borderId="1" xfId="0" applyFont="1" applyBorder="1" applyAlignment="1">
      <alignment vertical="center"/>
    </xf>
    <xf numFmtId="0" fontId="49" fillId="28" borderId="1" xfId="0" applyFont="1" applyFill="1" applyBorder="1" applyAlignment="1">
      <alignment vertical="center" wrapText="1"/>
    </xf>
    <xf numFmtId="0" fontId="49" fillId="28" borderId="1" xfId="0" applyFont="1" applyFill="1" applyBorder="1" applyAlignment="1">
      <alignment vertical="center"/>
    </xf>
    <xf numFmtId="0" fontId="50" fillId="16" borderId="1" xfId="0" applyNumberFormat="1" applyFont="1" applyFill="1" applyBorder="1" applyAlignment="1">
      <alignment vertical="center"/>
    </xf>
    <xf numFmtId="0" fontId="54" fillId="2" borderId="1" xfId="0" applyFont="1" applyFill="1" applyBorder="1" applyAlignment="1">
      <alignment vertical="center" wrapText="1"/>
    </xf>
    <xf numFmtId="10" fontId="54" fillId="2" borderId="1" xfId="5" applyNumberFormat="1" applyFont="1" applyFill="1" applyBorder="1" applyAlignment="1">
      <alignment vertical="center"/>
    </xf>
    <xf numFmtId="0" fontId="53" fillId="0" borderId="0" xfId="0" applyFont="1" applyBorder="1"/>
    <xf numFmtId="0" fontId="53" fillId="0" borderId="0" xfId="0" applyFont="1" applyBorder="1" applyAlignment="1">
      <alignment wrapText="1"/>
    </xf>
    <xf numFmtId="0" fontId="53" fillId="0" borderId="0" xfId="0" applyFont="1"/>
    <xf numFmtId="0" fontId="50" fillId="11" borderId="1" xfId="0" applyFont="1" applyFill="1" applyBorder="1" applyAlignment="1">
      <alignment horizontal="left" vertical="center" wrapText="1"/>
    </xf>
    <xf numFmtId="0" fontId="51" fillId="0" borderId="0" xfId="0" applyFont="1"/>
    <xf numFmtId="0" fontId="10" fillId="26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56" fillId="26" borderId="1" xfId="0" applyFont="1" applyFill="1" applyBorder="1" applyAlignment="1">
      <alignment horizontal="center" vertical="top" wrapText="1"/>
    </xf>
    <xf numFmtId="0" fontId="23" fillId="26" borderId="1" xfId="0" applyFont="1" applyFill="1" applyBorder="1" applyAlignment="1">
      <alignment horizontal="center" vertical="center"/>
    </xf>
    <xf numFmtId="0" fontId="51" fillId="0" borderId="0" xfId="0" applyFont="1" applyAlignment="1">
      <alignment horizontal="right"/>
    </xf>
    <xf numFmtId="0" fontId="22" fillId="25" borderId="1" xfId="0" applyFont="1" applyFill="1" applyBorder="1" applyAlignment="1">
      <alignment vertical="center" wrapText="1"/>
    </xf>
    <xf numFmtId="0" fontId="54" fillId="0" borderId="5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169" fontId="50" fillId="0" borderId="1" xfId="1" applyNumberFormat="1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 wrapText="1"/>
    </xf>
    <xf numFmtId="0" fontId="50" fillId="11" borderId="1" xfId="0" applyFont="1" applyFill="1" applyBorder="1" applyAlignment="1">
      <alignment horizontal="center" vertical="center"/>
    </xf>
    <xf numFmtId="169" fontId="50" fillId="11" borderId="1" xfId="1" applyNumberFormat="1" applyFont="1" applyFill="1" applyBorder="1" applyAlignment="1">
      <alignment horizontal="right" vertical="center"/>
    </xf>
    <xf numFmtId="169" fontId="50" fillId="11" borderId="8" xfId="1" applyNumberFormat="1" applyFont="1" applyFill="1" applyBorder="1" applyAlignment="1">
      <alignment horizontal="right" vertical="center"/>
    </xf>
    <xf numFmtId="165" fontId="50" fillId="0" borderId="1" xfId="0" applyNumberFormat="1" applyFont="1" applyFill="1" applyBorder="1" applyAlignment="1">
      <alignment horizontal="center" vertical="center"/>
    </xf>
    <xf numFmtId="169" fontId="50" fillId="0" borderId="1" xfId="1" applyNumberFormat="1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/>
    </xf>
    <xf numFmtId="0" fontId="50" fillId="0" borderId="0" xfId="0" applyFont="1" applyAlignment="1">
      <alignment vertical="center"/>
    </xf>
    <xf numFmtId="0" fontId="54" fillId="10" borderId="1" xfId="0" applyFont="1" applyFill="1" applyBorder="1" applyAlignment="1">
      <alignment horizontal="center" vertical="center" wrapText="1"/>
    </xf>
    <xf numFmtId="0" fontId="58" fillId="10" borderId="1" xfId="0" applyFont="1" applyFill="1" applyBorder="1" applyAlignment="1">
      <alignment horizontal="center" vertical="center" wrapText="1"/>
    </xf>
    <xf numFmtId="0" fontId="50" fillId="0" borderId="0" xfId="0" applyFont="1"/>
    <xf numFmtId="0" fontId="53" fillId="0" borderId="1" xfId="0" applyFont="1" applyBorder="1"/>
    <xf numFmtId="0" fontId="50" fillId="11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50" fillId="11" borderId="1" xfId="0" applyFont="1" applyFill="1" applyBorder="1" applyAlignment="1">
      <alignment horizontal="center" vertical="center"/>
    </xf>
    <xf numFmtId="0" fontId="50" fillId="11" borderId="1" xfId="0" applyFont="1" applyFill="1" applyBorder="1" applyAlignment="1">
      <alignment horizontal="center" vertical="center" wrapText="1"/>
    </xf>
    <xf numFmtId="0" fontId="50" fillId="11" borderId="1" xfId="0" applyFont="1" applyFill="1" applyBorder="1" applyAlignment="1">
      <alignment horizontal="center" vertical="center"/>
    </xf>
    <xf numFmtId="0" fontId="57" fillId="0" borderId="12" xfId="0" applyFont="1" applyFill="1" applyBorder="1" applyAlignment="1">
      <alignment horizontal="left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0" fillId="11" borderId="1" xfId="0" applyFont="1" applyFill="1" applyBorder="1" applyAlignment="1">
      <alignment horizontal="center" vertical="center"/>
    </xf>
    <xf numFmtId="0" fontId="50" fillId="11" borderId="1" xfId="0" applyFont="1" applyFill="1" applyBorder="1" applyAlignment="1">
      <alignment horizontal="center" vertical="center" wrapText="1"/>
    </xf>
    <xf numFmtId="0" fontId="0" fillId="15" borderId="1" xfId="0" applyFill="1" applyBorder="1"/>
    <xf numFmtId="0" fontId="50" fillId="11" borderId="5" xfId="0" applyFont="1" applyFill="1" applyBorder="1" applyAlignment="1">
      <alignment horizontal="center" vertical="center" wrapText="1"/>
    </xf>
    <xf numFmtId="0" fontId="50" fillId="11" borderId="6" xfId="0" applyFont="1" applyFill="1" applyBorder="1" applyAlignment="1">
      <alignment horizontal="center" vertical="center" wrapText="1"/>
    </xf>
    <xf numFmtId="0" fontId="50" fillId="11" borderId="9" xfId="0" applyFont="1" applyFill="1" applyBorder="1" applyAlignment="1">
      <alignment horizontal="center" vertical="center" wrapText="1"/>
    </xf>
    <xf numFmtId="0" fontId="50" fillId="11" borderId="5" xfId="0" applyFont="1" applyFill="1" applyBorder="1" applyAlignment="1">
      <alignment horizontal="center" vertical="center"/>
    </xf>
    <xf numFmtId="0" fontId="50" fillId="11" borderId="9" xfId="0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48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0" fillId="0" borderId="1" xfId="0" applyBorder="1"/>
    <xf numFmtId="0" fontId="16" fillId="1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/>
    </xf>
    <xf numFmtId="0" fontId="5" fillId="14" borderId="1" xfId="0" applyFont="1" applyFill="1" applyBorder="1" applyAlignment="1">
      <alignment horizontal="right" vertical="center"/>
    </xf>
    <xf numFmtId="0" fontId="4" fillId="13" borderId="1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3" fillId="10" borderId="1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6" fillId="11" borderId="12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166" fontId="4" fillId="10" borderId="1" xfId="0" applyNumberFormat="1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left" vertical="center"/>
    </xf>
    <xf numFmtId="0" fontId="4" fillId="14" borderId="4" xfId="0" applyFont="1" applyFill="1" applyBorder="1" applyAlignment="1">
      <alignment horizontal="left" vertical="center"/>
    </xf>
    <xf numFmtId="0" fontId="5" fillId="14" borderId="2" xfId="0" applyFont="1" applyFill="1" applyBorder="1" applyAlignment="1">
      <alignment horizontal="right" vertical="center"/>
    </xf>
    <xf numFmtId="0" fontId="5" fillId="14" borderId="3" xfId="0" applyFont="1" applyFill="1" applyBorder="1" applyAlignment="1">
      <alignment horizontal="right" vertical="center"/>
    </xf>
    <xf numFmtId="0" fontId="5" fillId="14" borderId="4" xfId="0" applyFont="1" applyFill="1" applyBorder="1" applyAlignment="1">
      <alignment horizontal="right" vertical="center"/>
    </xf>
    <xf numFmtId="0" fontId="4" fillId="21" borderId="1" xfId="0" applyFont="1" applyFill="1" applyBorder="1" applyAlignment="1">
      <alignment horizontal="left" vertical="center"/>
    </xf>
    <xf numFmtId="0" fontId="4" fillId="21" borderId="2" xfId="0" applyFont="1" applyFill="1" applyBorder="1" applyAlignment="1">
      <alignment horizontal="center" vertical="center"/>
    </xf>
    <xf numFmtId="0" fontId="4" fillId="21" borderId="3" xfId="0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left" vertical="center"/>
    </xf>
    <xf numFmtId="0" fontId="19" fillId="22" borderId="2" xfId="0" applyFont="1" applyFill="1" applyBorder="1" applyAlignment="1">
      <alignment vertical="center"/>
    </xf>
    <xf numFmtId="0" fontId="19" fillId="22" borderId="3" xfId="0" applyFont="1" applyFill="1" applyBorder="1" applyAlignment="1">
      <alignment vertical="center"/>
    </xf>
    <xf numFmtId="0" fontId="19" fillId="22" borderId="4" xfId="0" applyFont="1" applyFill="1" applyBorder="1" applyAlignment="1">
      <alignment vertical="center"/>
    </xf>
    <xf numFmtId="0" fontId="5" fillId="22" borderId="1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left" vertical="center"/>
    </xf>
    <xf numFmtId="0" fontId="36" fillId="0" borderId="12" xfId="0" applyFont="1" applyFill="1" applyBorder="1" applyAlignment="1">
      <alignment vertical="center"/>
    </xf>
    <xf numFmtId="0" fontId="4" fillId="23" borderId="1" xfId="0" applyFont="1" applyFill="1" applyBorder="1" applyAlignment="1">
      <alignment horizontal="left" vertical="center"/>
    </xf>
    <xf numFmtId="0" fontId="5" fillId="23" borderId="2" xfId="0" applyFont="1" applyFill="1" applyBorder="1" applyAlignment="1">
      <alignment horizontal="right" vertical="center"/>
    </xf>
    <xf numFmtId="0" fontId="5" fillId="23" borderId="3" xfId="0" applyFont="1" applyFill="1" applyBorder="1" applyAlignment="1">
      <alignment horizontal="right" vertical="center"/>
    </xf>
    <xf numFmtId="0" fontId="5" fillId="23" borderId="4" xfId="0" applyFont="1" applyFill="1" applyBorder="1" applyAlignment="1">
      <alignment horizontal="right" vertic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0" fontId="10" fillId="26" borderId="2" xfId="0" applyFont="1" applyFill="1" applyBorder="1" applyAlignment="1">
      <alignment horizontal="center" vertical="center"/>
    </xf>
    <xf numFmtId="0" fontId="10" fillId="26" borderId="3" xfId="0" applyFont="1" applyFill="1" applyBorder="1" applyAlignment="1">
      <alignment horizontal="center" vertical="center"/>
    </xf>
    <xf numFmtId="0" fontId="10" fillId="26" borderId="4" xfId="0" applyFont="1" applyFill="1" applyBorder="1" applyAlignment="1">
      <alignment horizontal="center" vertical="center"/>
    </xf>
    <xf numFmtId="0" fontId="10" fillId="26" borderId="2" xfId="0" applyFont="1" applyFill="1" applyBorder="1" applyAlignment="1">
      <alignment horizontal="center" vertical="center" wrapText="1"/>
    </xf>
    <xf numFmtId="0" fontId="10" fillId="26" borderId="3" xfId="0" applyFont="1" applyFill="1" applyBorder="1" applyAlignment="1">
      <alignment horizontal="center" vertical="center" wrapText="1"/>
    </xf>
    <xf numFmtId="0" fontId="10" fillId="26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26" borderId="11" xfId="0" applyFont="1" applyFill="1" applyBorder="1" applyAlignment="1">
      <alignment horizontal="center" vertical="center" wrapText="1"/>
    </xf>
    <xf numFmtId="0" fontId="10" fillId="26" borderId="12" xfId="0" applyFont="1" applyFill="1" applyBorder="1" applyAlignment="1">
      <alignment horizontal="center" vertical="center" wrapText="1"/>
    </xf>
    <xf numFmtId="0" fontId="10" fillId="26" borderId="13" xfId="0" applyFont="1" applyFill="1" applyBorder="1" applyAlignment="1">
      <alignment horizontal="center" vertical="center" wrapText="1"/>
    </xf>
    <xf numFmtId="0" fontId="10" fillId="26" borderId="15" xfId="0" applyFont="1" applyFill="1" applyBorder="1" applyAlignment="1">
      <alignment horizontal="center" vertical="center" wrapText="1"/>
    </xf>
    <xf numFmtId="0" fontId="10" fillId="26" borderId="8" xfId="0" applyFont="1" applyFill="1" applyBorder="1" applyAlignment="1">
      <alignment horizontal="center" vertical="center" wrapText="1"/>
    </xf>
    <xf numFmtId="0" fontId="10" fillId="26" borderId="7" xfId="0" applyFont="1" applyFill="1" applyBorder="1" applyAlignment="1">
      <alignment horizontal="center" vertical="center" wrapText="1"/>
    </xf>
    <xf numFmtId="0" fontId="10" fillId="26" borderId="11" xfId="0" applyFont="1" applyFill="1" applyBorder="1" applyAlignment="1">
      <alignment horizontal="center" vertical="center"/>
    </xf>
    <xf numFmtId="0" fontId="10" fillId="26" borderId="12" xfId="0" applyFont="1" applyFill="1" applyBorder="1" applyAlignment="1">
      <alignment horizontal="center" vertical="center"/>
    </xf>
    <xf numFmtId="0" fontId="10" fillId="26" borderId="13" xfId="0" applyFont="1" applyFill="1" applyBorder="1" applyAlignment="1">
      <alignment horizontal="center" vertical="center"/>
    </xf>
    <xf numFmtId="0" fontId="10" fillId="26" borderId="15" xfId="0" applyFont="1" applyFill="1" applyBorder="1" applyAlignment="1">
      <alignment horizontal="center" vertical="center"/>
    </xf>
    <xf numFmtId="0" fontId="10" fillId="26" borderId="8" xfId="0" applyFont="1" applyFill="1" applyBorder="1" applyAlignment="1">
      <alignment horizontal="center" vertical="center"/>
    </xf>
    <xf numFmtId="0" fontId="10" fillId="26" borderId="7" xfId="0" applyFont="1" applyFill="1" applyBorder="1" applyAlignment="1">
      <alignment horizontal="center" vertical="center"/>
    </xf>
    <xf numFmtId="0" fontId="10" fillId="26" borderId="5" xfId="0" applyFont="1" applyFill="1" applyBorder="1" applyAlignment="1">
      <alignment horizontal="center" vertical="center" wrapText="1"/>
    </xf>
    <xf numFmtId="0" fontId="10" fillId="26" borderId="6" xfId="0" applyFont="1" applyFill="1" applyBorder="1" applyAlignment="1">
      <alignment horizontal="center" vertical="center" wrapText="1"/>
    </xf>
    <xf numFmtId="0" fontId="10" fillId="26" borderId="9" xfId="0" applyFont="1" applyFill="1" applyBorder="1" applyAlignment="1">
      <alignment horizontal="center" vertical="center" wrapText="1"/>
    </xf>
    <xf numFmtId="0" fontId="55" fillId="10" borderId="2" xfId="0" applyFont="1" applyFill="1" applyBorder="1" applyAlignment="1">
      <alignment horizontal="center" vertical="center" wrapText="1"/>
    </xf>
    <xf numFmtId="0" fontId="55" fillId="10" borderId="3" xfId="0" applyFont="1" applyFill="1" applyBorder="1" applyAlignment="1">
      <alignment horizontal="center" vertical="center" wrapText="1"/>
    </xf>
    <xf numFmtId="0" fontId="55" fillId="10" borderId="4" xfId="0" applyFont="1" applyFill="1" applyBorder="1" applyAlignment="1">
      <alignment horizontal="center" vertical="center" wrapText="1"/>
    </xf>
    <xf numFmtId="0" fontId="55" fillId="10" borderId="11" xfId="0" applyFont="1" applyFill="1" applyBorder="1" applyAlignment="1">
      <alignment horizontal="center" vertical="center" wrapText="1"/>
    </xf>
    <xf numFmtId="0" fontId="55" fillId="10" borderId="12" xfId="0" applyFont="1" applyFill="1" applyBorder="1" applyAlignment="1">
      <alignment horizontal="center" vertical="center" wrapText="1"/>
    </xf>
    <xf numFmtId="0" fontId="55" fillId="10" borderId="13" xfId="0" applyFont="1" applyFill="1" applyBorder="1" applyAlignment="1">
      <alignment horizontal="center" vertical="center" wrapText="1"/>
    </xf>
    <xf numFmtId="0" fontId="55" fillId="10" borderId="15" xfId="0" applyFont="1" applyFill="1" applyBorder="1" applyAlignment="1">
      <alignment horizontal="center" vertical="center" wrapText="1"/>
    </xf>
    <xf numFmtId="0" fontId="55" fillId="10" borderId="8" xfId="0" applyFont="1" applyFill="1" applyBorder="1" applyAlignment="1">
      <alignment horizontal="center" vertical="center" wrapText="1"/>
    </xf>
    <xf numFmtId="0" fontId="55" fillId="10" borderId="7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54" fillId="0" borderId="3" xfId="0" applyFont="1" applyFill="1" applyBorder="1" applyAlignment="1">
      <alignment horizontal="center" vertical="center" wrapText="1"/>
    </xf>
    <xf numFmtId="0" fontId="54" fillId="0" borderId="4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>
      <alignment horizontal="center" vertical="center" wrapText="1"/>
    </xf>
    <xf numFmtId="0" fontId="54" fillId="10" borderId="5" xfId="0" applyFont="1" applyFill="1" applyBorder="1" applyAlignment="1">
      <alignment horizontal="center" vertical="center" wrapText="1"/>
    </xf>
    <xf numFmtId="0" fontId="54" fillId="10" borderId="6" xfId="0" applyFont="1" applyFill="1" applyBorder="1" applyAlignment="1">
      <alignment horizontal="center" vertical="center" wrapText="1"/>
    </xf>
    <xf numFmtId="0" fontId="54" fillId="10" borderId="9" xfId="0" applyFont="1" applyFill="1" applyBorder="1" applyAlignment="1">
      <alignment horizontal="center" vertical="center" wrapText="1"/>
    </xf>
    <xf numFmtId="0" fontId="54" fillId="10" borderId="2" xfId="0" applyFont="1" applyFill="1" applyBorder="1" applyAlignment="1">
      <alignment horizontal="center" vertical="center" wrapText="1"/>
    </xf>
    <xf numFmtId="0" fontId="54" fillId="10" borderId="3" xfId="0" applyFont="1" applyFill="1" applyBorder="1" applyAlignment="1">
      <alignment horizontal="center" vertical="center" wrapText="1"/>
    </xf>
    <xf numFmtId="0" fontId="54" fillId="10" borderId="4" xfId="0" applyFont="1" applyFill="1" applyBorder="1" applyAlignment="1">
      <alignment horizontal="center" vertical="center" wrapText="1"/>
    </xf>
  </cellXfs>
  <cellStyles count="6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4" xfId="4" xr:uid="{00000000-0005-0000-0000-000004000000}"/>
    <cellStyle name="Percent" xfId="5" builtin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yama/Downloads/sheets%20dated%2020-07-2020/Users/HP/Desktop/Examination%202017-%20Analysis/Users/Jaishree/Downloads/X2010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yama/Downloads/sheets%20dated%2020-07-2020/Users/HP/Desktop/Examination%202017-%20Analysis/2017%20X_Examination%20Results(Latest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yama/Downloads/sheets%20dated%2020-07-2020/Users/HP/Desktop/Examination%202017-%20Analysis/X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"/>
      <sheetName val="OpenBoard"/>
      <sheetName val="TS"/>
      <sheetName val="Pass%TS"/>
      <sheetName val="Chart"/>
    </sheetNames>
    <sheetDataSet>
      <sheetData sheetId="0">
        <row r="44">
          <cell r="AG44">
            <v>9374906</v>
          </cell>
          <cell r="AH44">
            <v>7351211</v>
          </cell>
          <cell r="AI44">
            <v>16726117</v>
          </cell>
          <cell r="AP44">
            <v>6862354</v>
          </cell>
          <cell r="AQ44">
            <v>5687118</v>
          </cell>
          <cell r="AR44">
            <v>12549472</v>
          </cell>
          <cell r="BZ44">
            <v>1517853</v>
          </cell>
          <cell r="CA44">
            <v>1169643</v>
          </cell>
          <cell r="CB44">
            <v>2687496</v>
          </cell>
          <cell r="CI44">
            <v>1020344</v>
          </cell>
          <cell r="CJ44">
            <v>834309</v>
          </cell>
          <cell r="CK44">
            <v>1854653</v>
          </cell>
          <cell r="DS44">
            <v>613490</v>
          </cell>
          <cell r="DT44">
            <v>476366</v>
          </cell>
          <cell r="DU44">
            <v>1089856</v>
          </cell>
          <cell r="EB44">
            <v>382583</v>
          </cell>
          <cell r="EC44">
            <v>293139</v>
          </cell>
          <cell r="ED44">
            <v>675722</v>
          </cell>
        </row>
      </sheetData>
      <sheetData sheetId="1">
        <row r="14">
          <cell r="C14">
            <v>309135</v>
          </cell>
          <cell r="D14">
            <v>214714</v>
          </cell>
          <cell r="E14">
            <v>523849</v>
          </cell>
          <cell r="F14">
            <v>166883</v>
          </cell>
          <cell r="G14">
            <v>106029</v>
          </cell>
          <cell r="H14">
            <v>272912</v>
          </cell>
          <cell r="I14">
            <v>44666</v>
          </cell>
          <cell r="J14">
            <v>27770</v>
          </cell>
          <cell r="K14">
            <v>72436</v>
          </cell>
          <cell r="L14">
            <v>23557</v>
          </cell>
          <cell r="M14">
            <v>13670</v>
          </cell>
          <cell r="N14">
            <v>37227</v>
          </cell>
          <cell r="O14">
            <v>29962</v>
          </cell>
          <cell r="P14">
            <v>25670</v>
          </cell>
          <cell r="Q14">
            <v>55632</v>
          </cell>
          <cell r="R14">
            <v>14045</v>
          </cell>
          <cell r="S14">
            <v>12019</v>
          </cell>
          <cell r="T14">
            <v>26064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lass-X Boardwise"/>
      <sheetName val="Board"/>
      <sheetName val="Open Board"/>
      <sheetName val="TS"/>
      <sheetName val="2016"/>
      <sheetName val="2015"/>
      <sheetName val="2014"/>
      <sheetName val="2013"/>
      <sheetName val="2012"/>
      <sheetName val="2011"/>
    </sheetNames>
    <sheetDataSet>
      <sheetData sheetId="0" refreshError="1"/>
      <sheetData sheetId="1" refreshError="1"/>
      <sheetData sheetId="2">
        <row r="51">
          <cell r="AG51">
            <v>10340418</v>
          </cell>
          <cell r="AH51">
            <v>8973973</v>
          </cell>
          <cell r="AI51">
            <v>19314391</v>
          </cell>
          <cell r="AP51">
            <v>7872615</v>
          </cell>
          <cell r="AQ51">
            <v>7004464</v>
          </cell>
          <cell r="AR51">
            <v>14877079</v>
          </cell>
          <cell r="BZ51">
            <v>1818268</v>
          </cell>
          <cell r="CA51">
            <v>1615036</v>
          </cell>
          <cell r="CB51">
            <v>3433304</v>
          </cell>
          <cell r="CI51">
            <v>1270069</v>
          </cell>
          <cell r="CJ51">
            <v>1162453</v>
          </cell>
          <cell r="CK51">
            <v>2432522</v>
          </cell>
          <cell r="DS51">
            <v>761861</v>
          </cell>
          <cell r="DT51">
            <v>735819</v>
          </cell>
          <cell r="DU51">
            <v>1497680</v>
          </cell>
          <cell r="EB51">
            <v>510415</v>
          </cell>
          <cell r="EC51">
            <v>493280</v>
          </cell>
          <cell r="ED51">
            <v>1003695</v>
          </cell>
        </row>
      </sheetData>
      <sheetData sheetId="3">
        <row r="15">
          <cell r="C15">
            <v>416151</v>
          </cell>
          <cell r="D15">
            <v>230386</v>
          </cell>
          <cell r="E15">
            <v>646537</v>
          </cell>
          <cell r="F15">
            <v>153640</v>
          </cell>
          <cell r="G15">
            <v>97756</v>
          </cell>
          <cell r="H15">
            <v>251396</v>
          </cell>
          <cell r="I15">
            <v>62764</v>
          </cell>
          <cell r="J15">
            <v>36693</v>
          </cell>
          <cell r="K15">
            <v>99457</v>
          </cell>
          <cell r="L15">
            <v>22025</v>
          </cell>
          <cell r="M15">
            <v>15076</v>
          </cell>
          <cell r="N15">
            <v>37101</v>
          </cell>
          <cell r="O15">
            <v>43692</v>
          </cell>
          <cell r="P15">
            <v>36302</v>
          </cell>
          <cell r="Q15">
            <v>79994</v>
          </cell>
          <cell r="R15">
            <v>17229</v>
          </cell>
          <cell r="S15">
            <v>15876</v>
          </cell>
          <cell r="T15">
            <v>33105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"/>
      <sheetName val="OpenBoard"/>
      <sheetName val="TS"/>
      <sheetName val="Pass%TS"/>
      <sheetName val="Sheet1"/>
    </sheetNames>
    <sheetDataSet>
      <sheetData sheetId="0" refreshError="1"/>
      <sheetData sheetId="1">
        <row r="14">
          <cell r="C14">
            <v>397611</v>
          </cell>
          <cell r="D14">
            <v>212752</v>
          </cell>
          <cell r="E14">
            <v>610363</v>
          </cell>
          <cell r="F14">
            <v>220126</v>
          </cell>
          <cell r="G14">
            <v>128848</v>
          </cell>
          <cell r="H14">
            <v>348974</v>
          </cell>
          <cell r="I14">
            <v>60124</v>
          </cell>
          <cell r="J14">
            <v>29784</v>
          </cell>
          <cell r="K14">
            <v>89908</v>
          </cell>
          <cell r="L14">
            <v>33032</v>
          </cell>
          <cell r="M14">
            <v>16829</v>
          </cell>
          <cell r="N14">
            <v>49861</v>
          </cell>
          <cell r="O14">
            <v>41501</v>
          </cell>
          <cell r="P14">
            <v>34982</v>
          </cell>
          <cell r="Q14">
            <v>76483</v>
          </cell>
          <cell r="R14">
            <v>22331</v>
          </cell>
          <cell r="S14">
            <v>19759</v>
          </cell>
          <cell r="T14">
            <v>42090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Jaishree" refreshedDate="43348.458288194444" createdVersion="3" refreshedVersion="3" minRefreshableVersion="3" recordCount="48" xr:uid="{00000000-000A-0000-FFFF-FFFF07000000}">
  <cacheSource type="worksheet">
    <worksheetSource ref="A2:EK50" sheet="Class-X Boardwise"/>
  </cacheSource>
  <cacheFields count="141">
    <cacheField name="Sr No." numFmtId="0">
      <sharedItems containsString="0" containsBlank="1" containsNumber="1" containsInteger="1" minValue="1" maxValue="44" count="45">
        <n v="1"/>
        <n v="2"/>
        <n v="3"/>
        <n v="4"/>
        <n v="5"/>
        <n v="6"/>
        <n v="7"/>
        <n v="8"/>
        <n v="9"/>
        <n v="10"/>
        <n v="11"/>
        <m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</sharedItems>
    </cacheField>
    <cacheField name="Board Name" numFmtId="0">
      <sharedItems containsBlank="1" count="45">
        <s v="UP Madhyamik Shiksha Parishad"/>
        <s v="New Delhi Rashtriya Sanskrit Sansthan"/>
        <s v="Banasthali Vidyapith , Rajasthan"/>
        <s v="Bihar School Education Board"/>
        <s v="Chhattisgarh Board of Secondary Education"/>
        <s v="Chhatisgarh Sanskriti Vidya Mandalam"/>
        <s v="Goa Board of Secondary &amp; Higher Secondary Education"/>
        <s v="Gujarat Secondary &amp; Higher Secondary Education Board"/>
        <s v="Board of School Education Haryana"/>
        <s v="H.P. Board of School Education"/>
        <s v="Madhya Pradesh Maharshi Patanjali Sanskrit Sansthan"/>
        <s v="Madhya Pradesh Board of Secondary Education "/>
        <s v="Board of Secondary Education, Odisha"/>
        <s v="Punjab School Education Board"/>
        <s v="U.P. Dayalbag Education Institute"/>
        <s v="Uttarakhand Sanskriti Shiksha   Parishad"/>
        <s v="Uttarakhand Board of School Education"/>
        <s v="State Madrassa Education Board, Assam"/>
        <s v="Assam Sanskrit Board"/>
        <s v="Central Board of Secondary Education, New Delhi"/>
        <s v="Nagaland Board of School Education"/>
        <s v="Aligarh Muslim University Board of Secondary &amp; Sr.Secondary Education"/>
        <s v="Director of Government Examination Telangana"/>
        <s v="Chhattisgarh Madarsa Board"/>
        <s v="Jharkhand Academic Council, Ranchi"/>
        <s v="J.K State Board of School Education"/>
        <s v="Council for the Indian School Certificate Examinations,                     New Delhi"/>
        <s v="Tripura Board of Secondary Education"/>
        <s v="West Bengal Board of Secondary Education"/>
        <s v="Meghalaya Board of School Education"/>
        <s v="Andhra Pradesh, Board of Secondary Education "/>
        <s v="Maharashtra State Board of Secondary Education"/>
        <s v="Kerala Board of Public Examination (Secondary Wing)"/>
        <s v="West Bengal Board of Madrasah Education "/>
        <s v="Karnataka, Secondary Education Examination Board"/>
        <s v="Bihar State Madrasa Education Board, Vidyapati Marg, Patna"/>
        <s v=" Board of Secondary Education, Rajasthan"/>
        <s v="Assam Board of Secondary Education  "/>
        <s v="Board of Secondary Education, Manipur"/>
        <s v="Mizoram Board of School Education"/>
        <s v="Tamilnadu board of Secondary Education"/>
        <s v="Bihar Sanskrit Board of Education"/>
        <s v="Maharshi Patanjali Sanskrit Sansthan,Bhopal(Madhya Pradesh)"/>
        <s v="UP Madhyamik Sanskrit Shiksha Parishad"/>
        <m/>
      </sharedItems>
    </cacheField>
    <cacheField name="Name of Examination" numFmtId="0">
      <sharedItems containsBlank="1"/>
    </cacheField>
    <cacheField name="Commencement" numFmtId="0">
      <sharedItems containsDate="1" containsBlank="1" containsMixedTypes="1" minDate="2016-04-01T00:00:00" maxDate="2017-10-06T00:00:00"/>
    </cacheField>
    <cacheField name="Completion" numFmtId="0">
      <sharedItems containsDate="1" containsBlank="1" containsMixedTypes="1" minDate="2017-01-04T00:00:00" maxDate="2017-10-13T00:00:00"/>
    </cacheField>
    <cacheField name="Commencement2" numFmtId="0">
      <sharedItems containsDate="1" containsBlank="1" containsMixedTypes="1" minDate="2017-02-06T00:00:00" maxDate="2017-08-11T00:00:00"/>
    </cacheField>
    <cacheField name="Completion2" numFmtId="0">
      <sharedItems containsDate="1" containsBlank="1" containsMixedTypes="1" minDate="2017-02-18T00:00:00" maxDate="2017-10-07T00:00:00"/>
    </cacheField>
    <cacheField name="Government" numFmtId="0">
      <sharedItems containsString="0" containsBlank="1" containsNumber="1" containsInteger="1" minValue="0" maxValue="13414"/>
    </cacheField>
    <cacheField name="Government Aided" numFmtId="0">
      <sharedItems containsBlank="1" containsMixedTypes="1" containsNumber="1" containsInteger="1" minValue="0" maxValue="21684"/>
    </cacheField>
    <cacheField name="Government Unaided" numFmtId="0">
      <sharedItems containsString="0" containsBlank="1" containsNumber="1" containsInteger="1" minValue="0" maxValue="17901"/>
    </cacheField>
    <cacheField name="Total" numFmtId="0">
      <sharedItems containsString="0" containsBlank="1" containsNumber="1" containsInteger="1" minValue="0" maxValue="26758"/>
    </cacheField>
    <cacheField name="Government2" numFmtId="0">
      <sharedItems containsString="0" containsBlank="1" containsNumber="1" containsInteger="1" minValue="0" maxValue="688078"/>
    </cacheField>
    <cacheField name="Government Aided2" numFmtId="0">
      <sharedItems containsString="0" containsBlank="1" containsNumber="1" containsInteger="1" minValue="0" maxValue="1755005"/>
    </cacheField>
    <cacheField name="Government Unaided2" numFmtId="0">
      <sharedItems containsString="0" containsBlank="1" containsNumber="1" containsInteger="1" minValue="0" maxValue="1936785"/>
    </cacheField>
    <cacheField name="Total2" numFmtId="0">
      <sharedItems containsString="0" containsBlank="1" containsNumber="1" containsInteger="1" minValue="0" maxValue="2858471"/>
    </cacheField>
    <cacheField name="Government3" numFmtId="0">
      <sharedItems containsString="0" containsBlank="1" containsNumber="1" containsInteger="1" minValue="0" maxValue="395078"/>
    </cacheField>
    <cacheField name="Government Aided3" numFmtId="0">
      <sharedItems containsString="0" containsBlank="1" containsNumber="1" containsInteger="1" minValue="0" maxValue="1537034"/>
    </cacheField>
    <cacheField name="Government Unaided3" numFmtId="0">
      <sharedItems containsString="0" containsBlank="1" containsNumber="1" containsInteger="1" minValue="0" maxValue="1625513"/>
    </cacheField>
    <cacheField name="Total3" numFmtId="0">
      <sharedItems containsString="0" containsBlank="1" containsNumber="1" containsInteger="1" minValue="0" maxValue="2327610"/>
    </cacheField>
    <cacheField name="Pass %" numFmtId="0">
      <sharedItems containsMixedTypes="1" containsNumber="1" minValue="0" maxValue="98.54"/>
    </cacheField>
    <cacheField name="100%" numFmtId="0">
      <sharedItems containsString="0" containsBlank="1" containsNumber="1" containsInteger="1" minValue="0" maxValue="11413"/>
    </cacheField>
    <cacheField name="100%-90%" numFmtId="0">
      <sharedItems containsString="0" containsBlank="1" containsNumber="1" containsInteger="1" minValue="0" maxValue="8188"/>
    </cacheField>
    <cacheField name="90%-80%" numFmtId="0">
      <sharedItems containsString="0" containsBlank="1" containsNumber="1" containsInteger="1" minValue="0" maxValue="6237"/>
    </cacheField>
    <cacheField name="80%-70%" numFmtId="0">
      <sharedItems containsString="0" containsBlank="1" containsNumber="1" containsInteger="1" minValue="0" maxValue="4518"/>
    </cacheField>
    <cacheField name="70%-60%" numFmtId="0">
      <sharedItems containsString="0" containsBlank="1" containsNumber="1" containsInteger="1" minValue="0" maxValue="3344"/>
    </cacheField>
    <cacheField name="60%-50%" numFmtId="0">
      <sharedItems containsString="0" containsBlank="1" containsNumber="1" containsInteger="1" minValue="0" maxValue="2163"/>
    </cacheField>
    <cacheField name="50%" numFmtId="0">
      <sharedItems containsString="0" containsBlank="1" containsNumber="1" containsInteger="1" minValue="0" maxValue="6419"/>
    </cacheField>
    <cacheField name="Total Differ" numFmtId="0">
      <sharedItems containsSemiMixedTypes="0" containsString="0" containsNumber="1" containsInteger="1" minValue="-12188" maxValue="305"/>
    </cacheField>
    <cacheField name="All Boys" numFmtId="0">
      <sharedItems containsSemiMixedTypes="0" containsString="0" containsNumber="1" containsInteger="1" minValue="0" maxValue="1520426"/>
    </cacheField>
    <cacheField name="All girls" numFmtId="0">
      <sharedItems containsSemiMixedTypes="0" containsString="0" containsNumber="1" containsInteger="1" minValue="0" maxValue="1338045"/>
    </cacheField>
    <cacheField name="All " numFmtId="0">
      <sharedItems containsSemiMixedTypes="0" containsString="0" containsNumber="1" containsInteger="1" minValue="0" maxValue="2858471"/>
    </cacheField>
    <cacheField name="SC Boys " numFmtId="0">
      <sharedItems containsSemiMixedTypes="0" containsString="0" containsNumber="1" containsInteger="1" minValue="0" maxValue="345966"/>
    </cacheField>
    <cacheField name="SC Girls" numFmtId="0">
      <sharedItems containsSemiMixedTypes="0" containsString="0" containsNumber="1" containsInteger="1" minValue="0" maxValue="301752"/>
    </cacheField>
    <cacheField name="SC all" numFmtId="0">
      <sharedItems containsSemiMixedTypes="0" containsString="0" containsNumber="1" containsInteger="1" minValue="0" maxValue="647718"/>
    </cacheField>
    <cacheField name="ST Boys " numFmtId="0">
      <sharedItems containsSemiMixedTypes="0" containsString="0" containsNumber="1" containsInteger="1" minValue="0" maxValue="83241"/>
    </cacheField>
    <cacheField name="ST girls" numFmtId="0">
      <sharedItems containsSemiMixedTypes="0" containsString="0" containsNumber="1" containsInteger="1" minValue="0" maxValue="67356"/>
    </cacheField>
    <cacheField name="ST All" numFmtId="0">
      <sharedItems containsSemiMixedTypes="0" containsString="0" containsNumber="1" containsInteger="1" minValue="0" maxValue="149543"/>
    </cacheField>
    <cacheField name="All Boys2" numFmtId="0">
      <sharedItems containsSemiMixedTypes="0" containsString="0" containsNumber="1" containsInteger="1" minValue="0" maxValue="1167948"/>
    </cacheField>
    <cacheField name="All girls2" numFmtId="0">
      <sharedItems containsSemiMixedTypes="0" containsString="0" containsNumber="1" containsInteger="1" minValue="0" maxValue="1159662"/>
    </cacheField>
    <cacheField name="All 2" numFmtId="0">
      <sharedItems containsSemiMixedTypes="0" containsString="0" containsNumber="1" containsInteger="1" minValue="0" maxValue="2327610"/>
    </cacheField>
    <cacheField name="SC Boys 2" numFmtId="0">
      <sharedItems containsSemiMixedTypes="0" containsString="0" containsNumber="1" containsInteger="1" minValue="0" maxValue="242066"/>
    </cacheField>
    <cacheField name="SC Girls2" numFmtId="0">
      <sharedItems containsSemiMixedTypes="0" containsString="0" containsNumber="1" containsInteger="1" minValue="0" maxValue="238925"/>
    </cacheField>
    <cacheField name="SC all2" numFmtId="0">
      <sharedItems containsSemiMixedTypes="0" containsString="0" containsNumber="1" containsInteger="1" minValue="0" maxValue="480991"/>
    </cacheField>
    <cacheField name="ST Boys 2" numFmtId="0">
      <sharedItems containsSemiMixedTypes="0" containsString="0" containsNumber="1" containsInteger="1" minValue="0" maxValue="63430"/>
    </cacheField>
    <cacheField name="ST girls2" numFmtId="0">
      <sharedItems containsSemiMixedTypes="0" containsString="0" containsNumber="1" containsInteger="1" minValue="0" maxValue="54168"/>
    </cacheField>
    <cacheField name="ST All2" numFmtId="0">
      <sharedItems containsSemiMixedTypes="0" containsString="0" containsNumber="1" containsInteger="1" minValue="0" maxValue="117598"/>
    </cacheField>
    <cacheField name="All Boys3" numFmtId="0">
      <sharedItems containsString="0" containsBlank="1" containsNumber="1" containsInteger="1" minValue="0" maxValue="66564"/>
    </cacheField>
    <cacheField name="All girls3" numFmtId="0">
      <sharedItems containsString="0" containsBlank="1" containsNumber="1" containsInteger="1" minValue="0" maxValue="61994"/>
    </cacheField>
    <cacheField name="All 3" numFmtId="0">
      <sharedItems containsSemiMixedTypes="0" containsString="0" containsNumber="1" containsInteger="1" minValue="0" maxValue="124631"/>
    </cacheField>
    <cacheField name="SC Boys 3" numFmtId="0">
      <sharedItems containsString="0" containsBlank="1" containsNumber="1" containsInteger="1" minValue="0" maxValue="14209"/>
    </cacheField>
    <cacheField name="SC Girls3" numFmtId="0">
      <sharedItems containsString="0" containsBlank="1" containsNumber="1" containsInteger="1" minValue="0" maxValue="10915"/>
    </cacheField>
    <cacheField name="SC all3" numFmtId="0">
      <sharedItems containsSemiMixedTypes="0" containsString="0" containsNumber="1" containsInteger="1" minValue="0" maxValue="25124"/>
    </cacheField>
    <cacheField name="ST Boys 3" numFmtId="0">
      <sharedItems containsString="0" containsBlank="1" containsNumber="1" containsInteger="1" minValue="0" maxValue="8174"/>
    </cacheField>
    <cacheField name="ST girls3" numFmtId="0">
      <sharedItems containsString="0" containsBlank="1" containsNumber="1" containsInteger="1" minValue="0" maxValue="9909"/>
    </cacheField>
    <cacheField name="ST All3" numFmtId="0">
      <sharedItems containsSemiMixedTypes="0" containsString="0" containsNumber="1" containsInteger="1" minValue="0" maxValue="18083"/>
    </cacheField>
    <cacheField name="All Boys4" numFmtId="0">
      <sharedItems containsString="0" containsBlank="1" containsNumber="1" containsInteger="1" minValue="0" maxValue="1168129"/>
    </cacheField>
    <cacheField name="All girls4" numFmtId="0">
      <sharedItems containsString="0" containsBlank="1" containsNumber="1" containsInteger="1" minValue="0" maxValue="1159726"/>
    </cacheField>
    <cacheField name="All 4" numFmtId="0">
      <sharedItems containsSemiMixedTypes="0" containsString="0" containsNumber="1" containsInteger="1" minValue="0" maxValue="2327855"/>
    </cacheField>
    <cacheField name="SC Boys 4" numFmtId="0">
      <sharedItems containsString="0" containsBlank="1" containsNumber="1" containsInteger="1" minValue="0" maxValue="242093"/>
    </cacheField>
    <cacheField name="SC Girls4" numFmtId="0">
      <sharedItems containsString="0" containsBlank="1" containsNumber="1" containsInteger="1" minValue="0" maxValue="238941"/>
    </cacheField>
    <cacheField name="SC all4" numFmtId="0">
      <sharedItems containsSemiMixedTypes="0" containsString="0" containsNumber="1" containsInteger="1" minValue="0" maxValue="481034"/>
    </cacheField>
    <cacheField name="ST Boys 4" numFmtId="0">
      <sharedItems containsString="0" containsBlank="1" containsNumber="1" containsInteger="1" minValue="0" maxValue="65083"/>
    </cacheField>
    <cacheField name="ST girls4" numFmtId="0">
      <sharedItems containsString="0" containsBlank="1" containsNumber="1" containsInteger="1" minValue="0" maxValue="55251"/>
    </cacheField>
    <cacheField name="ST All4" numFmtId="0">
      <sharedItems containsSemiMixedTypes="0" containsString="0" containsNumber="1" containsInteger="1" minValue="0" maxValue="120334"/>
    </cacheField>
    <cacheField name="All Boys5" numFmtId="0">
      <sharedItems containsMixedTypes="1" containsNumber="1" minValue="0" maxValue="100"/>
    </cacheField>
    <cacheField name="All girls5" numFmtId="0">
      <sharedItems containsMixedTypes="1" containsNumber="1" minValue="0" maxValue="99.14"/>
    </cacheField>
    <cacheField name="All 5" numFmtId="0">
      <sharedItems containsMixedTypes="1" containsNumber="1" minValue="0" maxValue="99.21"/>
    </cacheField>
    <cacheField name="SC Boys 5" numFmtId="0">
      <sharedItems containsMixedTypes="1" containsNumber="1" minValue="0" maxValue="100"/>
    </cacheField>
    <cacheField name="SC Girls5" numFmtId="0">
      <sharedItems containsMixedTypes="1" containsNumber="1" minValue="0" maxValue="100"/>
    </cacheField>
    <cacheField name="SC all5" numFmtId="0">
      <sharedItems containsMixedTypes="1" containsNumber="1" minValue="0" maxValue="100"/>
    </cacheField>
    <cacheField name="ST Boys 5" numFmtId="0">
      <sharedItems containsMixedTypes="1" containsNumber="1" minValue="0" maxValue="97.77"/>
    </cacheField>
    <cacheField name="ST girls5" numFmtId="0">
      <sharedItems containsMixedTypes="1" containsNumber="1" minValue="0" maxValue="100"/>
    </cacheField>
    <cacheField name="ST All5" numFmtId="0">
      <sharedItems containsMixedTypes="1" containsNumber="1" minValue="0" maxValue="100"/>
    </cacheField>
    <cacheField name="P_All Boys" numFmtId="0">
      <sharedItems containsString="0" containsBlank="1" containsNumber="1" containsInteger="1" minValue="0" maxValue="184192"/>
    </cacheField>
    <cacheField name="All girls6" numFmtId="0">
      <sharedItems containsString="0" containsBlank="1" containsNumber="1" containsInteger="1" minValue="0" maxValue="130125"/>
    </cacheField>
    <cacheField name="All 6" numFmtId="0">
      <sharedItems containsSemiMixedTypes="0" containsString="0" containsNumber="1" containsInteger="1" minValue="0" maxValue="314317"/>
    </cacheField>
    <cacheField name="SC Boys 6" numFmtId="0">
      <sharedItems containsSemiMixedTypes="0" containsString="0" containsNumber="1" containsInteger="1" minValue="0" maxValue="37649"/>
    </cacheField>
    <cacheField name="SC Girls6" numFmtId="0">
      <sharedItems containsSemiMixedTypes="0" containsString="0" containsNumber="1" containsInteger="1" minValue="0" maxValue="30511"/>
    </cacheField>
    <cacheField name="SC all6" numFmtId="0">
      <sharedItems containsSemiMixedTypes="0" containsString="0" containsNumber="1" containsInteger="1" minValue="0" maxValue="64192"/>
    </cacheField>
    <cacheField name="ST Boys 6" numFmtId="0">
      <sharedItems containsSemiMixedTypes="0" containsString="0" containsNumber="1" containsInteger="1" minValue="0" maxValue="41680"/>
    </cacheField>
    <cacheField name="ST girls6" numFmtId="0">
      <sharedItems containsSemiMixedTypes="0" containsString="0" containsNumber="1" containsInteger="1" minValue="0" maxValue="33256"/>
    </cacheField>
    <cacheField name="ST All6" numFmtId="0">
      <sharedItems containsSemiMixedTypes="0" containsString="0" containsNumber="1" containsInteger="1" minValue="0" maxValue="74936"/>
    </cacheField>
    <cacheField name="PP_All Boys" numFmtId="0">
      <sharedItems containsSemiMixedTypes="0" containsString="0" containsNumber="1" containsInteger="1" minValue="0" maxValue="86223"/>
    </cacheField>
    <cacheField name="All girls7" numFmtId="0">
      <sharedItems containsSemiMixedTypes="0" containsString="0" containsNumber="1" containsInteger="1" minValue="0" maxValue="28593"/>
    </cacheField>
    <cacheField name="All 7" numFmtId="0">
      <sharedItems containsSemiMixedTypes="0" containsString="0" containsNumber="1" containsInteger="1" minValue="0" maxValue="106632"/>
    </cacheField>
    <cacheField name="SC Boys 7" numFmtId="0">
      <sharedItems containsSemiMixedTypes="0" containsString="0" containsNumber="1" containsInteger="1" minValue="0" maxValue="12768"/>
    </cacheField>
    <cacheField name="SC Girls7" numFmtId="0">
      <sharedItems containsSemiMixedTypes="0" containsString="0" containsNumber="1" containsInteger="1" minValue="0" maxValue="5331"/>
    </cacheField>
    <cacheField name="SC all7" numFmtId="0">
      <sharedItems containsSemiMixedTypes="0" containsString="0" containsNumber="1" containsInteger="1" minValue="0" maxValue="15549"/>
    </cacheField>
    <cacheField name="ST Boys 7" numFmtId="0">
      <sharedItems containsSemiMixedTypes="0" containsString="0" containsNumber="1" containsInteger="1" minValue="0" maxValue="6094"/>
    </cacheField>
    <cacheField name="ST girls7" numFmtId="0">
      <sharedItems containsSemiMixedTypes="0" containsString="0" containsNumber="1" containsInteger="1" minValue="0" maxValue="6011"/>
    </cacheField>
    <cacheField name="ST All7" numFmtId="0">
      <sharedItems containsSemiMixedTypes="0" containsString="0" containsNumber="1" containsInteger="1" minValue="0" maxValue="12105"/>
    </cacheField>
    <cacheField name="PPS_All Boys" numFmtId="0">
      <sharedItems containsSemiMixedTypes="0" containsString="0" containsNumber="1" containsInteger="1" minValue="0" maxValue="19999"/>
    </cacheField>
    <cacheField name="All girls8" numFmtId="0">
      <sharedItems containsSemiMixedTypes="0" containsString="0" containsNumber="1" containsInteger="1" minValue="0" maxValue="17113"/>
    </cacheField>
    <cacheField name="All 8" numFmtId="0">
      <sharedItems containsSemiMixedTypes="0" containsString="0" containsNumber="1" containsInteger="1" minValue="0" maxValue="37112"/>
    </cacheField>
    <cacheField name="SC Boys 8" numFmtId="0">
      <sharedItems containsSemiMixedTypes="0" containsString="0" containsNumber="1" containsInteger="1" minValue="0" maxValue="3968"/>
    </cacheField>
    <cacheField name="SC Girls8" numFmtId="0">
      <sharedItems containsSemiMixedTypes="0" containsString="0" containsNumber="1" containsInteger="1" minValue="0" maxValue="3369"/>
    </cacheField>
    <cacheField name="SC all8" numFmtId="0">
      <sharedItems containsSemiMixedTypes="0" containsString="0" containsNumber="1" containsInteger="1" minValue="0" maxValue="7337"/>
    </cacheField>
    <cacheField name="ST Boys 8" numFmtId="0">
      <sharedItems containsSemiMixedTypes="0" containsString="0" containsNumber="1" containsInteger="1" minValue="0" maxValue="3975"/>
    </cacheField>
    <cacheField name="ST girls8" numFmtId="0">
      <sharedItems containsSemiMixedTypes="0" containsString="0" containsNumber="1" containsInteger="1" minValue="0" maxValue="3548"/>
    </cacheField>
    <cacheField name="ST All8" numFmtId="0">
      <sharedItems containsSemiMixedTypes="0" containsString="0" containsNumber="1" containsInteger="1" minValue="0" maxValue="7523"/>
    </cacheField>
    <cacheField name="All Boys6" numFmtId="0">
      <sharedItems containsSemiMixedTypes="0" containsString="0" containsNumber="1" containsInteger="1" minValue="0" maxValue="86248"/>
    </cacheField>
    <cacheField name="All girls9" numFmtId="0">
      <sharedItems containsSemiMixedTypes="0" containsString="0" containsNumber="1" containsInteger="1" minValue="0" maxValue="30267"/>
    </cacheField>
    <cacheField name="All 9" numFmtId="0">
      <sharedItems containsSemiMixedTypes="0" containsString="0" containsNumber="1" containsInteger="1" minValue="0" maxValue="106660"/>
    </cacheField>
    <cacheField name="SC Boys 9" numFmtId="0">
      <sharedItems containsSemiMixedTypes="0" containsString="0" containsNumber="1" containsInteger="1" minValue="0" maxValue="12773"/>
    </cacheField>
    <cacheField name="SC Girls9" numFmtId="0">
      <sharedItems containsSemiMixedTypes="0" containsString="0" containsNumber="1" containsInteger="1" minValue="0" maxValue="5855"/>
    </cacheField>
    <cacheField name="SC all9" numFmtId="0">
      <sharedItems containsSemiMixedTypes="0" containsString="0" containsNumber="1" containsInteger="1" minValue="0" maxValue="15555"/>
    </cacheField>
    <cacheField name="ST Boys 9" numFmtId="0">
      <sharedItems containsSemiMixedTypes="0" containsString="0" containsNumber="1" containsInteger="1" minValue="0" maxValue="7902"/>
    </cacheField>
    <cacheField name="ST girls9" numFmtId="0">
      <sharedItems containsSemiMixedTypes="0" containsString="0" containsNumber="1" containsInteger="1" minValue="0" maxValue="6387"/>
    </cacheField>
    <cacheField name="ST All9" numFmtId="0">
      <sharedItems containsSemiMixedTypes="0" containsString="0" containsNumber="1" containsInteger="1" minValue="0" maxValue="14289"/>
    </cacheField>
    <cacheField name="All Boys7" numFmtId="0">
      <sharedItems containsMixedTypes="1" containsNumber="1" minValue="0" maxValue="100"/>
    </cacheField>
    <cacheField name="All girls10" numFmtId="0">
      <sharedItems containsMixedTypes="1" containsNumber="1" minValue="0" maxValue="118.5"/>
    </cacheField>
    <cacheField name="All 10" numFmtId="0">
      <sharedItems containsMixedTypes="1" containsNumber="1" minValue="0" maxValue="118.5"/>
    </cacheField>
    <cacheField name="SC Boys 10" numFmtId="0">
      <sharedItems containsMixedTypes="1" containsNumber="1" minValue="0" maxValue="84.34"/>
    </cacheField>
    <cacheField name="SC Girls10" numFmtId="0">
      <sharedItems containsMixedTypes="1" containsNumber="1" minValue="0" maxValue="100"/>
    </cacheField>
    <cacheField name="SC all10" numFmtId="0">
      <sharedItems containsMixedTypes="1" containsNumber="1" minValue="0" maxValue="100"/>
    </cacheField>
    <cacheField name="ST Boys 10" numFmtId="0">
      <sharedItems containsMixedTypes="1" containsNumber="1" minValue="0" maxValue="100"/>
    </cacheField>
    <cacheField name="ST girls10" numFmtId="0">
      <sharedItems containsMixedTypes="1" containsNumber="1" minValue="0" maxValue="77.78"/>
    </cacheField>
    <cacheField name="ST All10" numFmtId="0">
      <sharedItems containsMixedTypes="1" containsNumber="1" minValue="0" maxValue="100"/>
    </cacheField>
    <cacheField name="pas All Boys" numFmtId="0">
      <sharedItems containsString="0" containsBlank="1" containsNumber="1" containsInteger="1" minValue="0" maxValue="823632" count="35">
        <n v="823632"/>
        <n v="249"/>
        <n v="16"/>
        <n v="0"/>
        <n v="23202"/>
        <n v="3978"/>
        <n v="110087"/>
        <n v="61969"/>
        <n v="27097"/>
        <m/>
        <n v="107790"/>
        <n v="91109"/>
        <n v="92147"/>
        <n v="93"/>
        <n v="145"/>
        <n v="12783"/>
        <n v="25995"/>
        <n v="722065"/>
        <n v="2770"/>
        <n v="853"/>
        <n v="65663"/>
        <n v="21416"/>
        <n v="83269"/>
        <n v="2325"/>
        <n v="27813"/>
        <n v="677"/>
        <n v="445593"/>
        <n v="1307"/>
        <n v="193561"/>
        <n v="3"/>
        <n v="176070"/>
        <n v="486"/>
        <n v="1885"/>
        <n v="348603"/>
        <n v="6530"/>
      </sharedItems>
    </cacheField>
    <cacheField name="Pas All girls" numFmtId="0">
      <sharedItems containsString="0" containsBlank="1" containsNumber="1" containsInteger="1" minValue="0" maxValue="887607" count="36">
        <n v="887607"/>
        <n v="165"/>
        <n v="189"/>
        <n v="0"/>
        <n v="25872"/>
        <n v="5501"/>
        <n v="95894"/>
        <n v="65106"/>
        <n v="29637"/>
        <m/>
        <n v="104394"/>
        <n v="99385"/>
        <n v="98190"/>
        <n v="94"/>
        <n v="13"/>
        <n v="18737"/>
        <n v="30514"/>
        <n v="512751"/>
        <n v="3525"/>
        <n v="733"/>
        <n v="3"/>
        <n v="59738"/>
        <n v="20451"/>
        <n v="71783"/>
        <n v="2155"/>
        <n v="20599"/>
        <n v="828"/>
        <n v="452596"/>
        <n v="1846"/>
        <n v="233022"/>
        <n v="1"/>
        <n v="134498"/>
        <n v="473"/>
        <n v="2233"/>
        <n v="406794"/>
        <n v="3080"/>
      </sharedItems>
    </cacheField>
    <cacheField name="All 11" numFmtId="0">
      <sharedItems containsSemiMixedTypes="0" containsString="0" containsNumber="1" containsInteger="1" minValue="0" maxValue="1711239" count="36">
        <n v="1711239"/>
        <n v="414"/>
        <n v="205"/>
        <n v="0"/>
        <n v="49074"/>
        <n v="9479"/>
        <n v="205981"/>
        <n v="127075"/>
        <n v="56734"/>
        <n v="212184"/>
        <n v="190494"/>
        <n v="190337"/>
        <n v="187"/>
        <n v="158"/>
        <n v="31520"/>
        <n v="56509"/>
        <n v="1234816"/>
        <n v="6295"/>
        <n v="1586"/>
        <n v="3"/>
        <n v="125401"/>
        <n v="41867"/>
        <n v="155052"/>
        <n v="4480"/>
        <n v="48412"/>
        <n v="1505"/>
        <n v="898189"/>
        <n v="72371"/>
        <n v="3153"/>
        <n v="426583"/>
        <n v="4"/>
        <n v="310568"/>
        <n v="959"/>
        <n v="4118"/>
        <n v="755397"/>
        <n v="9610"/>
      </sharedItems>
    </cacheField>
    <cacheField name="SC Boys 11" numFmtId="0">
      <sharedItems containsString="0" containsBlank="1" containsNumber="1" containsInteger="1" minValue="0" maxValue="154120" count="31">
        <n v="154120"/>
        <n v="16"/>
        <n v="1"/>
        <n v="0"/>
        <n v="3074"/>
        <n v="33"/>
        <n v="6300"/>
        <n v="10210"/>
        <n v="6430"/>
        <m/>
        <n v="15997"/>
        <n v="13736"/>
        <n v="26097"/>
        <n v="15"/>
        <n v="2194"/>
        <n v="1922"/>
        <n v="48276"/>
        <n v="43"/>
        <n v="10"/>
        <n v="6526"/>
        <n v="3732"/>
        <n v="510"/>
        <n v="4152"/>
        <n v="7"/>
        <n v="50994"/>
        <n v="30451"/>
        <n v="25724"/>
        <n v="20"/>
        <n v="5"/>
        <n v="69963"/>
        <n v="550"/>
      </sharedItems>
    </cacheField>
    <cacheField name="SC Girls11" numFmtId="0">
      <sharedItems containsString="0" containsBlank="1" containsNumber="1" containsInteger="1" minValue="0" maxValue="164020" count="32">
        <n v="164020"/>
        <n v="39"/>
        <n v="3"/>
        <n v="0"/>
        <n v="3154"/>
        <n v="59"/>
        <n v="5816"/>
        <n v="11276"/>
        <n v="7738"/>
        <m/>
        <n v="13136"/>
        <n v="14621"/>
        <n v="33745"/>
        <n v="12"/>
        <n v="3389"/>
        <n v="1726"/>
        <n v="33982"/>
        <n v="27"/>
        <n v="7"/>
        <n v="4954"/>
        <n v="2965"/>
        <n v="456"/>
        <n v="2688"/>
        <n v="6"/>
        <n v="55163"/>
        <n v="11"/>
        <n v="34325"/>
        <n v="17687"/>
        <n v="38"/>
        <n v="8"/>
        <n v="89856"/>
        <n v="680"/>
      </sharedItems>
    </cacheField>
    <cacheField name="SC all11" numFmtId="0">
      <sharedItems containsSemiMixedTypes="0" containsString="0" containsNumber="1" containsInteger="1" minValue="0" maxValue="318140"/>
    </cacheField>
    <cacheField name="ST Boys 11" numFmtId="0">
      <sharedItems containsString="0" containsBlank="1" containsNumber="1" containsInteger="1" minValue="0" maxValue="27132" count="30">
        <n v="6079"/>
        <n v="4"/>
        <n v="0"/>
        <n v="4162"/>
        <n v="357"/>
        <n v="7337"/>
        <n v="26"/>
        <n v="1572"/>
        <m/>
        <n v="9372"/>
        <n v="12231"/>
        <n v="18"/>
        <n v="9"/>
        <n v="454"/>
        <n v="3797"/>
        <n v="18426"/>
        <n v="2357"/>
        <n v="11880"/>
        <n v="2150"/>
        <n v="128"/>
        <n v="253"/>
        <n v="528"/>
        <n v="27132"/>
        <n v="2"/>
        <n v="11362"/>
        <n v="13960"/>
        <n v="85"/>
        <n v="1850"/>
        <n v="2751"/>
        <n v="3"/>
      </sharedItems>
    </cacheField>
    <cacheField name="ST girls11" numFmtId="0">
      <sharedItems containsString="0" containsBlank="1" containsNumber="1" containsInteger="1" minValue="0" maxValue="26310" count="29">
        <n v="5450"/>
        <n v="5"/>
        <n v="3"/>
        <n v="0"/>
        <n v="4396"/>
        <n v="524"/>
        <n v="8507"/>
        <n v="25"/>
        <n v="1731"/>
        <m/>
        <n v="8340"/>
        <n v="15998"/>
        <n v="17"/>
        <n v="13"/>
        <n v="632"/>
        <n v="3250"/>
        <n v="15088"/>
        <n v="3127"/>
        <n v="11120"/>
        <n v="2173"/>
        <n v="104"/>
        <n v="180"/>
        <n v="683"/>
        <n v="26310"/>
        <n v="13302"/>
        <n v="9206"/>
        <n v="81"/>
        <n v="2209"/>
        <n v="3029"/>
      </sharedItems>
    </cacheField>
    <cacheField name="ST All11" numFmtId="0">
      <sharedItems containsSemiMixedTypes="0" containsString="0" containsNumber="1" containsInteger="1" minValue="0" maxValue="53442"/>
    </cacheField>
    <cacheField name="All Boys8" numFmtId="0">
      <sharedItems containsString="0" containsBlank="1" containsNumber="1" containsInteger="1" minValue="0" maxValue="430745"/>
    </cacheField>
    <cacheField name="All girls11" numFmtId="0">
      <sharedItems containsString="0" containsBlank="1" containsNumber="1" containsInteger="1" minValue="0" maxValue="319223"/>
    </cacheField>
    <cacheField name="All 12" numFmtId="0">
      <sharedItems containsSemiMixedTypes="0" containsString="0" containsNumber="1" containsInteger="1" minValue="0" maxValue="748278"/>
    </cacheField>
    <cacheField name="SC Boys 12" numFmtId="0">
      <sharedItems containsString="0" containsBlank="1" containsNumber="1" containsInteger="1" minValue="0" maxValue="100746"/>
    </cacheField>
    <cacheField name="SC Girls12" numFmtId="0">
      <sharedItems containsString="0" containsBlank="1" containsNumber="1" containsInteger="1" minValue="0" maxValue="77703"/>
    </cacheField>
    <cacheField name="SC all12" numFmtId="0">
      <sharedItems containsSemiMixedTypes="0" containsString="0" containsNumber="1" containsInteger="1" minValue="0" maxValue="178449"/>
    </cacheField>
    <cacheField name="ST Boys 12" numFmtId="0">
      <sharedItems containsString="0" containsBlank="1" containsNumber="1" containsInteger="1" minValue="0" maxValue="63129"/>
    </cacheField>
    <cacheField name="ST girls12" numFmtId="0">
      <sharedItems containsString="0" containsBlank="1" containsNumber="1" containsInteger="1" minValue="0" maxValue="57447"/>
    </cacheField>
    <cacheField name="ST All12" numFmtId="0">
      <sharedItems containsSemiMixedTypes="0" containsString="0" containsNumber="1" containsInteger="1" minValue="0" maxValue="120576"/>
    </cacheField>
    <cacheField name="Appeared" numFmtId="0">
      <sharedItems containsSemiMixedTypes="0" containsString="0" containsNumber="1" containsInteger="1" minValue="-1344682" maxValue="10832"/>
    </cacheField>
    <cacheField name="Passed" numFmtId="0">
      <sharedItems containsSemiMixedTypes="0" containsString="0" containsNumber="1" containsInteger="1" minValue="-874984" maxValue="283725"/>
    </cacheField>
    <cacheField name="All" numFmtId="0">
      <sharedItems containsSemiMixedTypes="0" containsString="0" containsNumber="1" containsInteger="1" minValue="-1573213" maxValue="926711"/>
    </cacheField>
    <cacheField name="SC" numFmtId="0">
      <sharedItems containsSemiMixedTypes="0" containsString="0" containsNumber="1" containsInteger="1" minValue="-219058" maxValue="218762"/>
    </cacheField>
    <cacheField name="ST" numFmtId="0">
      <sharedItems containsSemiMixedTypes="0" containsString="0" containsNumber="1" containsInteger="1" minValue="-54931" maxValue="410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J50" firstHeaderRow="1" firstDataRow="2" firstDataCol="1"/>
  <pivotFields count="141">
    <pivotField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11"/>
        <item t="default"/>
      </items>
    </pivotField>
    <pivotField axis="axisRow" showAll="0">
      <items count="46">
        <item x="36"/>
        <item x="21"/>
        <item x="30"/>
        <item x="37"/>
        <item x="18"/>
        <item x="2"/>
        <item x="41"/>
        <item x="3"/>
        <item x="35"/>
        <item x="8"/>
        <item x="38"/>
        <item x="12"/>
        <item x="19"/>
        <item x="5"/>
        <item x="4"/>
        <item x="23"/>
        <item x="26"/>
        <item x="22"/>
        <item x="6"/>
        <item x="7"/>
        <item x="9"/>
        <item x="25"/>
        <item x="24"/>
        <item x="34"/>
        <item x="32"/>
        <item x="11"/>
        <item x="10"/>
        <item x="31"/>
        <item x="42"/>
        <item x="29"/>
        <item x="39"/>
        <item x="20"/>
        <item x="1"/>
        <item x="13"/>
        <item x="17"/>
        <item x="40"/>
        <item x="27"/>
        <item x="14"/>
        <item x="43"/>
        <item x="0"/>
        <item x="16"/>
        <item x="15"/>
        <item x="33"/>
        <item x="28"/>
        <item x="4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36">
        <item x="3"/>
        <item x="29"/>
        <item x="2"/>
        <item x="13"/>
        <item x="14"/>
        <item x="1"/>
        <item x="31"/>
        <item x="25"/>
        <item x="19"/>
        <item x="27"/>
        <item x="32"/>
        <item x="23"/>
        <item x="18"/>
        <item x="5"/>
        <item x="34"/>
        <item x="15"/>
        <item x="21"/>
        <item x="4"/>
        <item x="16"/>
        <item x="8"/>
        <item x="24"/>
        <item x="7"/>
        <item x="20"/>
        <item x="22"/>
        <item x="11"/>
        <item x="12"/>
        <item x="10"/>
        <item x="6"/>
        <item x="30"/>
        <item x="28"/>
        <item x="33"/>
        <item x="26"/>
        <item x="17"/>
        <item x="0"/>
        <item x="9"/>
        <item t="default"/>
      </items>
    </pivotField>
    <pivotField dataField="1" showAll="0">
      <items count="37">
        <item x="3"/>
        <item x="30"/>
        <item x="20"/>
        <item x="14"/>
        <item x="13"/>
        <item x="1"/>
        <item x="2"/>
        <item x="32"/>
        <item x="19"/>
        <item x="26"/>
        <item x="28"/>
        <item x="24"/>
        <item x="33"/>
        <item x="35"/>
        <item x="18"/>
        <item x="5"/>
        <item x="15"/>
        <item x="22"/>
        <item x="25"/>
        <item x="4"/>
        <item x="8"/>
        <item x="16"/>
        <item x="21"/>
        <item x="7"/>
        <item x="23"/>
        <item x="6"/>
        <item x="12"/>
        <item x="11"/>
        <item x="10"/>
        <item x="31"/>
        <item x="29"/>
        <item x="34"/>
        <item x="27"/>
        <item x="17"/>
        <item x="0"/>
        <item x="9"/>
        <item t="default"/>
      </items>
    </pivotField>
    <pivotField dataField="1" showAll="0">
      <items count="37">
        <item x="3"/>
        <item x="19"/>
        <item x="30"/>
        <item x="13"/>
        <item x="12"/>
        <item x="2"/>
        <item x="1"/>
        <item x="32"/>
        <item x="25"/>
        <item x="18"/>
        <item x="28"/>
        <item x="33"/>
        <item x="23"/>
        <item x="17"/>
        <item x="5"/>
        <item x="35"/>
        <item x="14"/>
        <item x="21"/>
        <item x="24"/>
        <item x="4"/>
        <item x="15"/>
        <item x="8"/>
        <item x="27"/>
        <item x="20"/>
        <item x="7"/>
        <item x="22"/>
        <item x="11"/>
        <item x="10"/>
        <item x="6"/>
        <item x="9"/>
        <item x="31"/>
        <item x="29"/>
        <item x="34"/>
        <item x="26"/>
        <item x="16"/>
        <item x="0"/>
        <item t="default"/>
      </items>
    </pivotField>
    <pivotField dataField="1" showAll="0">
      <items count="32">
        <item x="3"/>
        <item x="2"/>
        <item x="28"/>
        <item x="23"/>
        <item x="18"/>
        <item x="13"/>
        <item x="1"/>
        <item x="27"/>
        <item x="5"/>
        <item x="17"/>
        <item x="21"/>
        <item x="30"/>
        <item x="15"/>
        <item x="14"/>
        <item x="4"/>
        <item x="20"/>
        <item x="22"/>
        <item x="6"/>
        <item x="8"/>
        <item x="19"/>
        <item x="7"/>
        <item x="11"/>
        <item x="10"/>
        <item x="26"/>
        <item x="12"/>
        <item x="25"/>
        <item x="16"/>
        <item x="24"/>
        <item x="29"/>
        <item x="0"/>
        <item x="9"/>
        <item t="default"/>
      </items>
    </pivotField>
    <pivotField dataField="1" showAll="0">
      <items count="33">
        <item x="3"/>
        <item x="2"/>
        <item x="23"/>
        <item x="18"/>
        <item x="29"/>
        <item x="25"/>
        <item x="13"/>
        <item x="17"/>
        <item x="28"/>
        <item x="1"/>
        <item x="5"/>
        <item x="21"/>
        <item x="31"/>
        <item x="15"/>
        <item x="22"/>
        <item x="20"/>
        <item x="4"/>
        <item x="14"/>
        <item x="19"/>
        <item x="6"/>
        <item x="8"/>
        <item x="7"/>
        <item x="10"/>
        <item x="11"/>
        <item x="27"/>
        <item x="12"/>
        <item x="16"/>
        <item x="26"/>
        <item x="24"/>
        <item x="30"/>
        <item x="0"/>
        <item x="9"/>
        <item t="default"/>
      </items>
    </pivotField>
    <pivotField dataField="1" showAll="0"/>
    <pivotField dataField="1" showAll="0">
      <items count="31">
        <item x="2"/>
        <item x="23"/>
        <item x="29"/>
        <item x="1"/>
        <item x="12"/>
        <item x="11"/>
        <item x="6"/>
        <item x="26"/>
        <item x="19"/>
        <item x="20"/>
        <item x="4"/>
        <item x="13"/>
        <item x="21"/>
        <item x="7"/>
        <item x="27"/>
        <item x="18"/>
        <item x="16"/>
        <item x="28"/>
        <item x="14"/>
        <item x="3"/>
        <item x="0"/>
        <item x="5"/>
        <item x="9"/>
        <item x="24"/>
        <item x="17"/>
        <item x="10"/>
        <item x="25"/>
        <item x="15"/>
        <item x="22"/>
        <item x="8"/>
        <item t="default"/>
      </items>
    </pivotField>
    <pivotField dataField="1" showAll="0">
      <items count="30">
        <item x="3"/>
        <item x="2"/>
        <item x="1"/>
        <item x="13"/>
        <item x="12"/>
        <item x="7"/>
        <item x="26"/>
        <item x="20"/>
        <item x="21"/>
        <item x="5"/>
        <item x="14"/>
        <item x="22"/>
        <item x="8"/>
        <item x="19"/>
        <item x="27"/>
        <item x="28"/>
        <item x="17"/>
        <item x="15"/>
        <item x="4"/>
        <item x="0"/>
        <item x="10"/>
        <item x="6"/>
        <item x="25"/>
        <item x="18"/>
        <item x="24"/>
        <item x="16"/>
        <item x="11"/>
        <item x="23"/>
        <item x="9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 of pas All Boys" fld="118" baseField="0" baseItem="0"/>
    <dataField name="Sum of Pas All girls" fld="119" baseField="0" baseItem="0"/>
    <dataField name="Sum of All 11" fld="120" baseField="0" baseItem="0"/>
    <dataField name="Sum of SC Boys 11" fld="121" baseField="0" baseItem="0"/>
    <dataField name="Sum of SC all11" fld="123" baseField="0" baseItem="0"/>
    <dataField name="Sum of ST All11" fld="126" baseField="0" baseItem="0"/>
    <dataField name="Sum of SC Girls11" fld="122" baseField="0" baseItem="0"/>
    <dataField name="Sum of ST Boys 11" fld="124" baseField="0" baseItem="0"/>
    <dataField name="Sum of ST girls11" fld="125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mhrd.gov.in/statistics-new?shs_term_node_tid_depth=381" TargetMode="External"/><Relationship Id="rId1" Type="http://schemas.openxmlformats.org/officeDocument/2006/relationships/hyperlink" Target="http://mhrd.gov.in/statistics-new?shs_term_node_tid_depth=38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mhrd.gov.in/statistics-new?shs_term_node_tid_depth=381" TargetMode="External"/><Relationship Id="rId1" Type="http://schemas.openxmlformats.org/officeDocument/2006/relationships/hyperlink" Target="http://mhrd.gov.in/statistics-new?shs_term_node_tid_depth=38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mhrd.gov.in/statistics-new?shs_term_node_tid_depth=381" TargetMode="External"/><Relationship Id="rId1" Type="http://schemas.openxmlformats.org/officeDocument/2006/relationships/hyperlink" Target="http://mhrd.gov.in/statistics-new?shs_term_node_tid_depth=38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mhrd.gov.in/statistics-new?shs_term_node_tid_depth=381" TargetMode="External"/><Relationship Id="rId1" Type="http://schemas.openxmlformats.org/officeDocument/2006/relationships/hyperlink" Target="http://mhrd.gov.in/statistics-new?shs_term_node_tid_depth=38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mhrd.gov.in/statistics-new?shs_term_node_tid_depth=381" TargetMode="External"/><Relationship Id="rId1" Type="http://schemas.openxmlformats.org/officeDocument/2006/relationships/hyperlink" Target="http://mhrd.gov.in/statistics-new?shs_term_node_tid_depth=381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mhrd.gov.in/statistics-new?shs_term_node_tid_depth=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50"/>
  <sheetViews>
    <sheetView topLeftCell="A27" workbookViewId="0">
      <selection activeCell="B5" sqref="B5:D48"/>
    </sheetView>
  </sheetViews>
  <sheetFormatPr defaultRowHeight="15" x14ac:dyDescent="0.25"/>
  <cols>
    <col min="1" max="1" width="69.140625" customWidth="1"/>
    <col min="2" max="2" width="18.28515625" customWidth="1"/>
    <col min="3" max="3" width="17.85546875" customWidth="1"/>
    <col min="4" max="4" width="12.42578125" customWidth="1"/>
    <col min="5" max="5" width="16.85546875" customWidth="1"/>
    <col min="6" max="6" width="14.42578125" customWidth="1"/>
    <col min="7" max="7" width="14.5703125" customWidth="1"/>
    <col min="8" max="8" width="16.42578125" customWidth="1"/>
    <col min="9" max="9" width="16.7109375" customWidth="1"/>
    <col min="10" max="10" width="15.85546875" customWidth="1"/>
    <col min="11" max="16" width="5" customWidth="1"/>
    <col min="17" max="27" width="6" customWidth="1"/>
    <col min="28" max="35" width="7" customWidth="1"/>
    <col min="36" max="36" width="7.28515625" customWidth="1"/>
    <col min="37" max="37" width="11.28515625" customWidth="1"/>
    <col min="38" max="38" width="10.85546875" customWidth="1"/>
    <col min="39" max="39" width="7.85546875" customWidth="1"/>
    <col min="40" max="40" width="10.85546875" customWidth="1"/>
    <col min="41" max="41" width="7.85546875" customWidth="1"/>
    <col min="42" max="42" width="10.85546875" customWidth="1"/>
    <col min="43" max="43" width="7.85546875" customWidth="1"/>
    <col min="44" max="44" width="10.85546875" customWidth="1"/>
    <col min="45" max="45" width="7.85546875" customWidth="1"/>
    <col min="46" max="46" width="10.85546875" customWidth="1"/>
    <col min="47" max="47" width="7.85546875" customWidth="1"/>
    <col min="48" max="48" width="10.85546875" customWidth="1"/>
    <col min="49" max="49" width="7.85546875" customWidth="1"/>
    <col min="50" max="50" width="10.85546875" customWidth="1"/>
    <col min="51" max="51" width="7.85546875" customWidth="1"/>
    <col min="52" max="52" width="10.85546875" customWidth="1"/>
    <col min="53" max="53" width="7.85546875" customWidth="1"/>
    <col min="54" max="54" width="10.85546875" customWidth="1"/>
    <col min="55" max="55" width="8.85546875" customWidth="1"/>
    <col min="56" max="56" width="11.85546875" customWidth="1"/>
    <col min="57" max="57" width="8.85546875" customWidth="1"/>
    <col min="58" max="58" width="11.85546875" customWidth="1"/>
    <col min="59" max="59" width="8.85546875" customWidth="1"/>
    <col min="60" max="60" width="11.85546875" customWidth="1"/>
    <col min="61" max="61" width="8.85546875" customWidth="1"/>
    <col min="62" max="62" width="11.85546875" customWidth="1"/>
    <col min="63" max="63" width="8.85546875" customWidth="1"/>
    <col min="64" max="64" width="11.85546875" customWidth="1"/>
    <col min="65" max="65" width="8.85546875" customWidth="1"/>
    <col min="66" max="66" width="11.85546875" customWidth="1"/>
    <col min="67" max="67" width="8.85546875" customWidth="1"/>
    <col min="68" max="68" width="11.85546875" customWidth="1"/>
    <col min="69" max="69" width="8.85546875" customWidth="1"/>
    <col min="70" max="70" width="11.85546875" customWidth="1"/>
    <col min="71" max="71" width="9.140625" customWidth="1"/>
    <col min="72" max="72" width="12.140625" customWidth="1"/>
    <col min="73" max="73" width="11.28515625" customWidth="1"/>
    <col min="74" max="74" width="7.85546875" customWidth="1"/>
    <col min="75" max="76" width="10.85546875" customWidth="1"/>
    <col min="77" max="77" width="7.85546875" customWidth="1"/>
    <col min="78" max="79" width="10.85546875" customWidth="1"/>
    <col min="80" max="80" width="7.85546875" customWidth="1"/>
    <col min="81" max="82" width="10.85546875" customWidth="1"/>
    <col min="83" max="83" width="8.85546875" customWidth="1"/>
    <col min="84" max="85" width="11.85546875" customWidth="1"/>
    <col min="86" max="86" width="8.85546875" customWidth="1"/>
    <col min="87" max="87" width="10.85546875" customWidth="1"/>
    <col min="88" max="88" width="11.85546875" customWidth="1"/>
    <col min="89" max="89" width="8.85546875" customWidth="1"/>
    <col min="90" max="91" width="11.85546875" customWidth="1"/>
    <col min="92" max="92" width="8.85546875" customWidth="1"/>
    <col min="93" max="94" width="11.85546875" customWidth="1"/>
    <col min="95" max="95" width="8.85546875" customWidth="1"/>
    <col min="96" max="97" width="11.85546875" customWidth="1"/>
    <col min="98" max="98" width="8.85546875" customWidth="1"/>
    <col min="99" max="100" width="11.85546875" customWidth="1"/>
    <col min="101" max="101" width="8.85546875" customWidth="1"/>
    <col min="102" max="103" width="11.85546875" customWidth="1"/>
    <col min="104" max="104" width="8.85546875" customWidth="1"/>
    <col min="105" max="106" width="11.85546875" customWidth="1"/>
    <col min="107" max="107" width="9.140625" customWidth="1"/>
    <col min="108" max="109" width="12.140625" customWidth="1"/>
    <col min="110" max="110" width="11.28515625" customWidth="1"/>
    <col min="111" max="111" width="8.85546875" customWidth="1"/>
    <col min="112" max="114" width="11.85546875" customWidth="1"/>
    <col min="115" max="115" width="8.85546875" customWidth="1"/>
    <col min="116" max="116" width="11.85546875" bestFit="1" customWidth="1"/>
    <col min="117" max="117" width="10.85546875" bestFit="1" customWidth="1"/>
    <col min="118" max="118" width="11.85546875" customWidth="1"/>
    <col min="119" max="119" width="8.85546875" customWidth="1"/>
    <col min="120" max="120" width="11.85546875" customWidth="1"/>
    <col min="121" max="121" width="11.85546875" bestFit="1" customWidth="1"/>
    <col min="122" max="122" width="11.85546875" customWidth="1"/>
    <col min="123" max="123" width="8.85546875" customWidth="1"/>
    <col min="124" max="125" width="11.85546875" customWidth="1"/>
    <col min="126" max="126" width="11.85546875" bestFit="1" customWidth="1"/>
    <col min="127" max="127" width="8.85546875" customWidth="1"/>
    <col min="128" max="130" width="11.85546875" customWidth="1"/>
    <col min="131" max="131" width="8.85546875" customWidth="1"/>
    <col min="132" max="134" width="11.85546875" customWidth="1"/>
    <col min="135" max="135" width="9.85546875" customWidth="1"/>
    <col min="136" max="136" width="12.85546875" customWidth="1"/>
    <col min="137" max="138" width="11.85546875" customWidth="1"/>
    <col min="139" max="139" width="9.85546875" customWidth="1"/>
    <col min="140" max="140" width="12.85546875" customWidth="1"/>
    <col min="141" max="142" width="11.85546875" bestFit="1" customWidth="1"/>
    <col min="143" max="143" width="9.140625" customWidth="1"/>
    <col min="144" max="144" width="6.85546875" customWidth="1"/>
    <col min="145" max="146" width="12.140625" customWidth="1"/>
    <col min="147" max="147" width="11.28515625" customWidth="1"/>
    <col min="148" max="148" width="11.85546875" bestFit="1" customWidth="1"/>
    <col min="149" max="149" width="8.85546875" customWidth="1"/>
    <col min="150" max="150" width="10.85546875" bestFit="1" customWidth="1"/>
    <col min="151" max="153" width="11.85546875" bestFit="1" customWidth="1"/>
    <col min="154" max="154" width="8.85546875" customWidth="1"/>
    <col min="155" max="155" width="10.85546875" bestFit="1" customWidth="1"/>
    <col min="156" max="158" width="11.85546875" bestFit="1" customWidth="1"/>
    <col min="159" max="159" width="8.85546875" customWidth="1"/>
    <col min="160" max="160" width="10.85546875" bestFit="1" customWidth="1"/>
    <col min="161" max="163" width="11.85546875" bestFit="1" customWidth="1"/>
    <col min="164" max="164" width="8.85546875" customWidth="1"/>
    <col min="165" max="165" width="10.85546875" bestFit="1" customWidth="1"/>
    <col min="166" max="168" width="11.85546875" bestFit="1" customWidth="1"/>
    <col min="169" max="169" width="9.85546875" bestFit="1" customWidth="1"/>
    <col min="170" max="170" width="10.85546875" bestFit="1" customWidth="1"/>
    <col min="171" max="171" width="12.85546875" bestFit="1" customWidth="1"/>
    <col min="172" max="173" width="11.85546875" bestFit="1" customWidth="1"/>
    <col min="174" max="174" width="9.85546875" bestFit="1" customWidth="1"/>
    <col min="175" max="175" width="11.85546875" bestFit="1" customWidth="1"/>
    <col min="176" max="176" width="12.85546875" bestFit="1" customWidth="1"/>
    <col min="177" max="178" width="11.85546875" bestFit="1" customWidth="1"/>
    <col min="180" max="180" width="12.140625" bestFit="1" customWidth="1"/>
    <col min="181" max="181" width="6.85546875" customWidth="1"/>
    <col min="182" max="183" width="12.140625" bestFit="1" customWidth="1"/>
    <col min="184" max="184" width="11.28515625" bestFit="1" customWidth="1"/>
  </cols>
  <sheetData>
    <row r="3" spans="1:10" x14ac:dyDescent="0.25">
      <c r="B3" s="72" t="s">
        <v>178</v>
      </c>
    </row>
    <row r="4" spans="1:10" x14ac:dyDescent="0.25">
      <c r="A4" s="72" t="s">
        <v>130</v>
      </c>
      <c r="B4" t="s">
        <v>202</v>
      </c>
      <c r="C4" t="s">
        <v>203</v>
      </c>
      <c r="D4" t="s">
        <v>199</v>
      </c>
      <c r="E4" t="s">
        <v>204</v>
      </c>
      <c r="F4" t="s">
        <v>200</v>
      </c>
      <c r="G4" t="s">
        <v>201</v>
      </c>
      <c r="H4" t="s">
        <v>205</v>
      </c>
      <c r="I4" t="s">
        <v>206</v>
      </c>
      <c r="J4" t="s">
        <v>207</v>
      </c>
    </row>
    <row r="5" spans="1:10" x14ac:dyDescent="0.25">
      <c r="A5" s="73" t="s">
        <v>131</v>
      </c>
      <c r="B5" s="74">
        <v>176070</v>
      </c>
      <c r="C5" s="74">
        <v>134498</v>
      </c>
      <c r="D5" s="74">
        <v>310568</v>
      </c>
      <c r="E5" s="74">
        <v>25724</v>
      </c>
      <c r="F5" s="74">
        <v>43411</v>
      </c>
      <c r="G5" s="74">
        <v>23166</v>
      </c>
      <c r="H5" s="74">
        <v>17687</v>
      </c>
      <c r="I5" s="74">
        <v>13960</v>
      </c>
      <c r="J5" s="74">
        <v>9206</v>
      </c>
    </row>
    <row r="6" spans="1:10" x14ac:dyDescent="0.25">
      <c r="A6" s="73" t="s">
        <v>132</v>
      </c>
      <c r="B6" s="74">
        <v>853</v>
      </c>
      <c r="C6" s="74">
        <v>733</v>
      </c>
      <c r="D6" s="74">
        <v>1586</v>
      </c>
      <c r="E6" s="74">
        <v>10</v>
      </c>
      <c r="F6" s="74">
        <v>17</v>
      </c>
      <c r="G6" s="74">
        <v>0</v>
      </c>
      <c r="H6" s="74">
        <v>7</v>
      </c>
      <c r="I6" s="74">
        <v>0</v>
      </c>
      <c r="J6" s="74">
        <v>0</v>
      </c>
    </row>
    <row r="7" spans="1:10" x14ac:dyDescent="0.25">
      <c r="A7" s="73" t="s">
        <v>133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</row>
    <row r="8" spans="1:10" x14ac:dyDescent="0.25">
      <c r="A8" s="73" t="s">
        <v>134</v>
      </c>
      <c r="B8" s="74">
        <v>25995</v>
      </c>
      <c r="C8" s="74">
        <v>30514</v>
      </c>
      <c r="D8" s="74">
        <v>56509</v>
      </c>
      <c r="E8" s="74">
        <v>1922</v>
      </c>
      <c r="F8" s="74">
        <v>3648</v>
      </c>
      <c r="G8" s="74">
        <v>7047</v>
      </c>
      <c r="H8" s="74">
        <v>1726</v>
      </c>
      <c r="I8" s="74">
        <v>3797</v>
      </c>
      <c r="J8" s="74">
        <v>3250</v>
      </c>
    </row>
    <row r="9" spans="1:10" x14ac:dyDescent="0.25">
      <c r="A9" s="73" t="s">
        <v>135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</row>
    <row r="10" spans="1:10" x14ac:dyDescent="0.25">
      <c r="A10" s="73" t="s">
        <v>136</v>
      </c>
      <c r="B10" s="74">
        <v>16</v>
      </c>
      <c r="C10" s="74">
        <v>189</v>
      </c>
      <c r="D10" s="74">
        <v>205</v>
      </c>
      <c r="E10" s="74">
        <v>1</v>
      </c>
      <c r="F10" s="74">
        <v>4</v>
      </c>
      <c r="G10" s="74">
        <v>3</v>
      </c>
      <c r="H10" s="74">
        <v>3</v>
      </c>
      <c r="I10" s="74">
        <v>0</v>
      </c>
      <c r="J10" s="74">
        <v>3</v>
      </c>
    </row>
    <row r="11" spans="1:10" x14ac:dyDescent="0.25">
      <c r="A11" s="73" t="s">
        <v>137</v>
      </c>
      <c r="B11" s="74">
        <v>93</v>
      </c>
      <c r="C11" s="74">
        <v>94</v>
      </c>
      <c r="D11" s="74">
        <v>187</v>
      </c>
      <c r="E11" s="74">
        <v>15</v>
      </c>
      <c r="F11" s="74">
        <v>27</v>
      </c>
      <c r="G11" s="74">
        <v>22</v>
      </c>
      <c r="H11" s="74">
        <v>12</v>
      </c>
      <c r="I11" s="74">
        <v>9</v>
      </c>
      <c r="J11" s="74">
        <v>13</v>
      </c>
    </row>
    <row r="12" spans="1:10" x14ac:dyDescent="0.25">
      <c r="A12" s="73" t="s">
        <v>138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</row>
    <row r="13" spans="1:10" x14ac:dyDescent="0.25">
      <c r="A13" s="73" t="s">
        <v>139</v>
      </c>
      <c r="B13" s="74">
        <v>3</v>
      </c>
      <c r="C13" s="74">
        <v>1</v>
      </c>
      <c r="D13" s="74">
        <v>4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</row>
    <row r="14" spans="1:10" x14ac:dyDescent="0.25">
      <c r="A14" s="73" t="s">
        <v>140</v>
      </c>
      <c r="B14" s="74">
        <v>61969</v>
      </c>
      <c r="C14" s="74">
        <v>65106</v>
      </c>
      <c r="D14" s="74">
        <v>127075</v>
      </c>
      <c r="E14" s="74">
        <v>10210</v>
      </c>
      <c r="F14" s="74">
        <v>21486</v>
      </c>
      <c r="G14" s="74">
        <v>51</v>
      </c>
      <c r="H14" s="74">
        <v>11276</v>
      </c>
      <c r="I14" s="74">
        <v>26</v>
      </c>
      <c r="J14" s="74">
        <v>25</v>
      </c>
    </row>
    <row r="15" spans="1:10" x14ac:dyDescent="0.25">
      <c r="A15" s="73" t="s">
        <v>141</v>
      </c>
      <c r="B15" s="74">
        <v>486</v>
      </c>
      <c r="C15" s="74">
        <v>473</v>
      </c>
      <c r="D15" s="74">
        <v>959</v>
      </c>
      <c r="E15" s="74">
        <v>20</v>
      </c>
      <c r="F15" s="74">
        <v>58</v>
      </c>
      <c r="G15" s="74">
        <v>166</v>
      </c>
      <c r="H15" s="74">
        <v>38</v>
      </c>
      <c r="I15" s="74">
        <v>85</v>
      </c>
      <c r="J15" s="74">
        <v>81</v>
      </c>
    </row>
    <row r="16" spans="1:10" x14ac:dyDescent="0.25">
      <c r="A16" s="73" t="s">
        <v>142</v>
      </c>
      <c r="B16" s="74">
        <v>91109</v>
      </c>
      <c r="C16" s="74">
        <v>99385</v>
      </c>
      <c r="D16" s="74">
        <v>190494</v>
      </c>
      <c r="E16" s="74">
        <v>13736</v>
      </c>
      <c r="F16" s="74">
        <v>28357</v>
      </c>
      <c r="G16" s="74">
        <v>28229</v>
      </c>
      <c r="H16" s="74">
        <v>14621</v>
      </c>
      <c r="I16" s="74">
        <v>12231</v>
      </c>
      <c r="J16" s="74">
        <v>15998</v>
      </c>
    </row>
    <row r="17" spans="1:10" x14ac:dyDescent="0.25">
      <c r="A17" s="73" t="s">
        <v>143</v>
      </c>
      <c r="B17" s="74">
        <v>722065</v>
      </c>
      <c r="C17" s="74">
        <v>512751</v>
      </c>
      <c r="D17" s="74">
        <v>1234816</v>
      </c>
      <c r="E17" s="74">
        <v>48276</v>
      </c>
      <c r="F17" s="74">
        <v>82258</v>
      </c>
      <c r="G17" s="74">
        <v>33514</v>
      </c>
      <c r="H17" s="74">
        <v>33982</v>
      </c>
      <c r="I17" s="74">
        <v>18426</v>
      </c>
      <c r="J17" s="74">
        <v>15088</v>
      </c>
    </row>
    <row r="18" spans="1:10" x14ac:dyDescent="0.25">
      <c r="A18" s="73" t="s">
        <v>144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</row>
    <row r="19" spans="1:10" x14ac:dyDescent="0.25">
      <c r="A19" s="73" t="s">
        <v>145</v>
      </c>
      <c r="B19" s="74">
        <v>23202</v>
      </c>
      <c r="C19" s="74">
        <v>25872</v>
      </c>
      <c r="D19" s="74">
        <v>49074</v>
      </c>
      <c r="E19" s="74">
        <v>3074</v>
      </c>
      <c r="F19" s="74">
        <v>6228</v>
      </c>
      <c r="G19" s="74">
        <v>8558</v>
      </c>
      <c r="H19" s="74">
        <v>3154</v>
      </c>
      <c r="I19" s="74">
        <v>4162</v>
      </c>
      <c r="J19" s="74">
        <v>4396</v>
      </c>
    </row>
    <row r="20" spans="1:10" x14ac:dyDescent="0.25">
      <c r="A20" s="73" t="s">
        <v>93</v>
      </c>
      <c r="B20" s="74">
        <v>0</v>
      </c>
      <c r="C20" s="74">
        <v>3</v>
      </c>
      <c r="D20" s="74">
        <v>3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</row>
    <row r="21" spans="1:10" x14ac:dyDescent="0.25">
      <c r="A21" s="73" t="s">
        <v>146</v>
      </c>
      <c r="B21" s="74">
        <v>83269</v>
      </c>
      <c r="C21" s="74">
        <v>71783</v>
      </c>
      <c r="D21" s="74">
        <v>155052</v>
      </c>
      <c r="E21" s="74">
        <v>3732</v>
      </c>
      <c r="F21" s="74">
        <v>6697</v>
      </c>
      <c r="G21" s="74">
        <v>4323</v>
      </c>
      <c r="H21" s="74">
        <v>2965</v>
      </c>
      <c r="I21" s="74">
        <v>2150</v>
      </c>
      <c r="J21" s="74">
        <v>2173</v>
      </c>
    </row>
    <row r="22" spans="1:10" x14ac:dyDescent="0.25">
      <c r="A22" s="73" t="s">
        <v>147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</row>
    <row r="23" spans="1:10" x14ac:dyDescent="0.25">
      <c r="A23" s="73" t="s">
        <v>148</v>
      </c>
      <c r="B23" s="74">
        <v>3978</v>
      </c>
      <c r="C23" s="74">
        <v>5501</v>
      </c>
      <c r="D23" s="74">
        <v>9479</v>
      </c>
      <c r="E23" s="74">
        <v>33</v>
      </c>
      <c r="F23" s="74">
        <v>92</v>
      </c>
      <c r="G23" s="74">
        <v>881</v>
      </c>
      <c r="H23" s="74">
        <v>59</v>
      </c>
      <c r="I23" s="74">
        <v>357</v>
      </c>
      <c r="J23" s="74">
        <v>524</v>
      </c>
    </row>
    <row r="24" spans="1:10" x14ac:dyDescent="0.25">
      <c r="A24" s="73" t="s">
        <v>149</v>
      </c>
      <c r="B24" s="74">
        <v>110087</v>
      </c>
      <c r="C24" s="74">
        <v>95894</v>
      </c>
      <c r="D24" s="74">
        <v>205981</v>
      </c>
      <c r="E24" s="74">
        <v>6300</v>
      </c>
      <c r="F24" s="74">
        <v>12116</v>
      </c>
      <c r="G24" s="74">
        <v>15844</v>
      </c>
      <c r="H24" s="74">
        <v>5816</v>
      </c>
      <c r="I24" s="74">
        <v>7337</v>
      </c>
      <c r="J24" s="74">
        <v>8507</v>
      </c>
    </row>
    <row r="25" spans="1:10" x14ac:dyDescent="0.25">
      <c r="A25" s="73" t="s">
        <v>150</v>
      </c>
      <c r="B25" s="74">
        <v>27097</v>
      </c>
      <c r="C25" s="74">
        <v>29637</v>
      </c>
      <c r="D25" s="74">
        <v>56734</v>
      </c>
      <c r="E25" s="74">
        <v>6430</v>
      </c>
      <c r="F25" s="74">
        <v>14168</v>
      </c>
      <c r="G25" s="74">
        <v>3303</v>
      </c>
      <c r="H25" s="74">
        <v>7738</v>
      </c>
      <c r="I25" s="74">
        <v>1572</v>
      </c>
      <c r="J25" s="74">
        <v>1731</v>
      </c>
    </row>
    <row r="26" spans="1:10" x14ac:dyDescent="0.25">
      <c r="A26" s="73" t="s">
        <v>151</v>
      </c>
      <c r="B26" s="74">
        <v>21416</v>
      </c>
      <c r="C26" s="74">
        <v>20451</v>
      </c>
      <c r="D26" s="74">
        <v>41867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</row>
    <row r="27" spans="1:10" x14ac:dyDescent="0.25">
      <c r="A27" s="73" t="s">
        <v>152</v>
      </c>
      <c r="B27" s="74">
        <v>65663</v>
      </c>
      <c r="C27" s="74">
        <v>59738</v>
      </c>
      <c r="D27" s="74">
        <v>125401</v>
      </c>
      <c r="E27" s="74">
        <v>6526</v>
      </c>
      <c r="F27" s="74">
        <v>11480</v>
      </c>
      <c r="G27" s="74">
        <v>23000</v>
      </c>
      <c r="H27" s="74">
        <v>4954</v>
      </c>
      <c r="I27" s="74">
        <v>11880</v>
      </c>
      <c r="J27" s="74">
        <v>11120</v>
      </c>
    </row>
    <row r="28" spans="1:10" x14ac:dyDescent="0.25">
      <c r="A28" s="73" t="s">
        <v>153</v>
      </c>
      <c r="B28" s="74">
        <v>193561</v>
      </c>
      <c r="C28" s="74">
        <v>233022</v>
      </c>
      <c r="D28" s="74">
        <v>426583</v>
      </c>
      <c r="E28" s="74">
        <v>30451</v>
      </c>
      <c r="F28" s="74">
        <v>64776</v>
      </c>
      <c r="G28" s="74">
        <v>24664</v>
      </c>
      <c r="H28" s="74">
        <v>34325</v>
      </c>
      <c r="I28" s="74">
        <v>11362</v>
      </c>
      <c r="J28" s="74">
        <v>13302</v>
      </c>
    </row>
    <row r="29" spans="1:10" x14ac:dyDescent="0.25">
      <c r="A29" s="73" t="s">
        <v>154</v>
      </c>
      <c r="B29" s="74">
        <v>0</v>
      </c>
      <c r="C29" s="74">
        <v>0</v>
      </c>
      <c r="D29" s="74">
        <v>72371</v>
      </c>
      <c r="E29" s="74">
        <v>0</v>
      </c>
      <c r="F29" s="74">
        <v>1409</v>
      </c>
      <c r="G29" s="74">
        <v>112</v>
      </c>
      <c r="H29" s="74">
        <v>0</v>
      </c>
      <c r="I29" s="74">
        <v>0</v>
      </c>
      <c r="J29" s="74">
        <v>0</v>
      </c>
    </row>
    <row r="30" spans="1:10" x14ac:dyDescent="0.25">
      <c r="A30" s="73" t="s">
        <v>155</v>
      </c>
      <c r="B30" s="74">
        <v>107790</v>
      </c>
      <c r="C30" s="74">
        <v>104394</v>
      </c>
      <c r="D30" s="74">
        <v>212184</v>
      </c>
      <c r="E30" s="74">
        <v>15997</v>
      </c>
      <c r="F30" s="74">
        <v>29133</v>
      </c>
      <c r="G30" s="74">
        <v>17712</v>
      </c>
      <c r="H30" s="74">
        <v>13136</v>
      </c>
      <c r="I30" s="74">
        <v>9372</v>
      </c>
      <c r="J30" s="74">
        <v>8340</v>
      </c>
    </row>
    <row r="31" spans="1:10" x14ac:dyDescent="0.25">
      <c r="A31" s="73" t="s">
        <v>156</v>
      </c>
      <c r="B31" s="74"/>
      <c r="C31" s="74"/>
      <c r="D31" s="74">
        <v>0</v>
      </c>
      <c r="E31" s="74"/>
      <c r="F31" s="74">
        <v>0</v>
      </c>
      <c r="G31" s="74">
        <v>0</v>
      </c>
      <c r="H31" s="74"/>
      <c r="I31" s="74"/>
      <c r="J31" s="74"/>
    </row>
    <row r="32" spans="1:10" x14ac:dyDescent="0.25">
      <c r="A32" s="73" t="s">
        <v>109</v>
      </c>
      <c r="B32" s="74">
        <v>445593</v>
      </c>
      <c r="C32" s="74">
        <v>452596</v>
      </c>
      <c r="D32" s="74">
        <v>898189</v>
      </c>
      <c r="E32" s="74">
        <v>50994</v>
      </c>
      <c r="F32" s="74">
        <v>106157</v>
      </c>
      <c r="G32" s="74">
        <v>53442</v>
      </c>
      <c r="H32" s="74">
        <v>55163</v>
      </c>
      <c r="I32" s="74">
        <v>27132</v>
      </c>
      <c r="J32" s="74">
        <v>26310</v>
      </c>
    </row>
    <row r="33" spans="1:10" x14ac:dyDescent="0.25">
      <c r="A33" s="73" t="s">
        <v>157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</row>
    <row r="34" spans="1:10" x14ac:dyDescent="0.25">
      <c r="A34" s="73" t="s">
        <v>158</v>
      </c>
      <c r="B34" s="74">
        <v>677</v>
      </c>
      <c r="C34" s="74">
        <v>828</v>
      </c>
      <c r="D34" s="74">
        <v>1505</v>
      </c>
      <c r="E34" s="74">
        <v>7</v>
      </c>
      <c r="F34" s="74">
        <v>13</v>
      </c>
      <c r="G34" s="74">
        <v>1211</v>
      </c>
      <c r="H34" s="74">
        <v>6</v>
      </c>
      <c r="I34" s="74">
        <v>528</v>
      </c>
      <c r="J34" s="74">
        <v>683</v>
      </c>
    </row>
    <row r="35" spans="1:10" x14ac:dyDescent="0.25">
      <c r="A35" s="73" t="s">
        <v>159</v>
      </c>
      <c r="B35" s="74">
        <v>1885</v>
      </c>
      <c r="C35" s="74">
        <v>2233</v>
      </c>
      <c r="D35" s="74">
        <v>4118</v>
      </c>
      <c r="E35" s="74">
        <v>5</v>
      </c>
      <c r="F35" s="74">
        <v>13</v>
      </c>
      <c r="G35" s="74">
        <v>4059</v>
      </c>
      <c r="H35" s="74">
        <v>8</v>
      </c>
      <c r="I35" s="74">
        <v>1850</v>
      </c>
      <c r="J35" s="74">
        <v>2209</v>
      </c>
    </row>
    <row r="36" spans="1:10" x14ac:dyDescent="0.25">
      <c r="A36" s="73" t="s">
        <v>160</v>
      </c>
      <c r="B36" s="74">
        <v>2770</v>
      </c>
      <c r="C36" s="74">
        <v>3525</v>
      </c>
      <c r="D36" s="74">
        <v>6295</v>
      </c>
      <c r="E36" s="74">
        <v>43</v>
      </c>
      <c r="F36" s="74">
        <v>70</v>
      </c>
      <c r="G36" s="74">
        <v>5484</v>
      </c>
      <c r="H36" s="74">
        <v>27</v>
      </c>
      <c r="I36" s="74">
        <v>2357</v>
      </c>
      <c r="J36" s="74">
        <v>3127</v>
      </c>
    </row>
    <row r="37" spans="1:10" x14ac:dyDescent="0.25">
      <c r="A37" s="73" t="s">
        <v>161</v>
      </c>
      <c r="B37" s="74">
        <v>249</v>
      </c>
      <c r="C37" s="74">
        <v>165</v>
      </c>
      <c r="D37" s="74">
        <v>414</v>
      </c>
      <c r="E37" s="74">
        <v>16</v>
      </c>
      <c r="F37" s="74">
        <v>55</v>
      </c>
      <c r="G37" s="74">
        <v>9</v>
      </c>
      <c r="H37" s="74">
        <v>39</v>
      </c>
      <c r="I37" s="74">
        <v>4</v>
      </c>
      <c r="J37" s="74">
        <v>5</v>
      </c>
    </row>
    <row r="38" spans="1:10" x14ac:dyDescent="0.25">
      <c r="A38" s="73" t="s">
        <v>162</v>
      </c>
      <c r="B38" s="74">
        <v>92147</v>
      </c>
      <c r="C38" s="74">
        <v>98190</v>
      </c>
      <c r="D38" s="74">
        <v>190337</v>
      </c>
      <c r="E38" s="74">
        <v>26097</v>
      </c>
      <c r="F38" s="74">
        <v>59842</v>
      </c>
      <c r="G38" s="74">
        <v>35</v>
      </c>
      <c r="H38" s="74">
        <v>33745</v>
      </c>
      <c r="I38" s="74">
        <v>18</v>
      </c>
      <c r="J38" s="74">
        <v>17</v>
      </c>
    </row>
    <row r="39" spans="1:10" x14ac:dyDescent="0.25">
      <c r="A39" s="73" t="s">
        <v>163</v>
      </c>
      <c r="B39" s="74">
        <v>25995</v>
      </c>
      <c r="C39" s="74">
        <v>30514</v>
      </c>
      <c r="D39" s="74">
        <v>56509</v>
      </c>
      <c r="E39" s="74">
        <v>1922</v>
      </c>
      <c r="F39" s="74">
        <v>3648</v>
      </c>
      <c r="G39" s="74">
        <v>7047</v>
      </c>
      <c r="H39" s="74">
        <v>1726</v>
      </c>
      <c r="I39" s="74">
        <v>3797</v>
      </c>
      <c r="J39" s="74">
        <v>3250</v>
      </c>
    </row>
    <row r="40" spans="1:10" x14ac:dyDescent="0.25">
      <c r="A40" s="73" t="s">
        <v>164</v>
      </c>
      <c r="B40" s="74">
        <v>348603</v>
      </c>
      <c r="C40" s="74">
        <v>406794</v>
      </c>
      <c r="D40" s="74">
        <v>755397</v>
      </c>
      <c r="E40" s="74">
        <v>69963</v>
      </c>
      <c r="F40" s="74">
        <v>159819</v>
      </c>
      <c r="G40" s="74">
        <v>5780</v>
      </c>
      <c r="H40" s="74">
        <v>89856</v>
      </c>
      <c r="I40" s="74">
        <v>2751</v>
      </c>
      <c r="J40" s="74">
        <v>3029</v>
      </c>
    </row>
    <row r="41" spans="1:10" x14ac:dyDescent="0.25">
      <c r="A41" s="73" t="s">
        <v>165</v>
      </c>
      <c r="B41" s="74">
        <v>2325</v>
      </c>
      <c r="C41" s="74">
        <v>2155</v>
      </c>
      <c r="D41" s="74">
        <v>4480</v>
      </c>
      <c r="E41" s="74">
        <v>510</v>
      </c>
      <c r="F41" s="74">
        <v>966</v>
      </c>
      <c r="G41" s="74">
        <v>232</v>
      </c>
      <c r="H41" s="74">
        <v>456</v>
      </c>
      <c r="I41" s="74">
        <v>128</v>
      </c>
      <c r="J41" s="74">
        <v>104</v>
      </c>
    </row>
    <row r="42" spans="1:10" x14ac:dyDescent="0.25">
      <c r="A42" s="73" t="s">
        <v>166</v>
      </c>
      <c r="B42" s="74">
        <v>93</v>
      </c>
      <c r="C42" s="74">
        <v>94</v>
      </c>
      <c r="D42" s="74">
        <v>187</v>
      </c>
      <c r="E42" s="74">
        <v>15</v>
      </c>
      <c r="F42" s="74">
        <v>27</v>
      </c>
      <c r="G42" s="74">
        <v>22</v>
      </c>
      <c r="H42" s="74">
        <v>12</v>
      </c>
      <c r="I42" s="74">
        <v>9</v>
      </c>
      <c r="J42" s="74">
        <v>13</v>
      </c>
    </row>
    <row r="43" spans="1:10" x14ac:dyDescent="0.25">
      <c r="A43" s="73" t="s">
        <v>167</v>
      </c>
      <c r="B43" s="74">
        <v>6530</v>
      </c>
      <c r="C43" s="74">
        <v>3080</v>
      </c>
      <c r="D43" s="74">
        <v>9610</v>
      </c>
      <c r="E43" s="74">
        <v>550</v>
      </c>
      <c r="F43" s="74">
        <v>1230</v>
      </c>
      <c r="G43" s="74">
        <v>3</v>
      </c>
      <c r="H43" s="74">
        <v>680</v>
      </c>
      <c r="I43" s="74">
        <v>3</v>
      </c>
      <c r="J43" s="74">
        <v>0</v>
      </c>
    </row>
    <row r="44" spans="1:10" x14ac:dyDescent="0.25">
      <c r="A44" s="73" t="s">
        <v>168</v>
      </c>
      <c r="B44" s="74">
        <v>823632</v>
      </c>
      <c r="C44" s="74">
        <v>887607</v>
      </c>
      <c r="D44" s="74">
        <v>1711239</v>
      </c>
      <c r="E44" s="74">
        <v>154120</v>
      </c>
      <c r="F44" s="74">
        <v>318140</v>
      </c>
      <c r="G44" s="74">
        <v>11529</v>
      </c>
      <c r="H44" s="74">
        <v>164020</v>
      </c>
      <c r="I44" s="74">
        <v>6079</v>
      </c>
      <c r="J44" s="74">
        <v>5450</v>
      </c>
    </row>
    <row r="45" spans="1:10" x14ac:dyDescent="0.25">
      <c r="A45" s="73" t="s">
        <v>169</v>
      </c>
      <c r="B45" s="74">
        <v>12783</v>
      </c>
      <c r="C45" s="74">
        <v>18737</v>
      </c>
      <c r="D45" s="74">
        <v>31520</v>
      </c>
      <c r="E45" s="74">
        <v>2194</v>
      </c>
      <c r="F45" s="74">
        <v>5583</v>
      </c>
      <c r="G45" s="74">
        <v>1086</v>
      </c>
      <c r="H45" s="74">
        <v>3389</v>
      </c>
      <c r="I45" s="74">
        <v>454</v>
      </c>
      <c r="J45" s="74">
        <v>632</v>
      </c>
    </row>
    <row r="46" spans="1:10" x14ac:dyDescent="0.25">
      <c r="A46" s="73" t="s">
        <v>170</v>
      </c>
      <c r="B46" s="74">
        <v>145</v>
      </c>
      <c r="C46" s="74">
        <v>13</v>
      </c>
      <c r="D46" s="74">
        <v>158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</row>
    <row r="47" spans="1:10" x14ac:dyDescent="0.25">
      <c r="A47" s="73" t="s">
        <v>171</v>
      </c>
      <c r="B47" s="74">
        <v>1307</v>
      </c>
      <c r="C47" s="74">
        <v>1846</v>
      </c>
      <c r="D47" s="74">
        <v>3153</v>
      </c>
      <c r="E47" s="74">
        <v>10</v>
      </c>
      <c r="F47" s="74">
        <v>21</v>
      </c>
      <c r="G47" s="74">
        <v>7</v>
      </c>
      <c r="H47" s="74">
        <v>11</v>
      </c>
      <c r="I47" s="74">
        <v>2</v>
      </c>
      <c r="J47" s="74">
        <v>5</v>
      </c>
    </row>
    <row r="48" spans="1:10" x14ac:dyDescent="0.25">
      <c r="A48" s="73" t="s">
        <v>172</v>
      </c>
      <c r="B48" s="74">
        <v>27813</v>
      </c>
      <c r="C48" s="74">
        <v>20599</v>
      </c>
      <c r="D48" s="74">
        <v>48412</v>
      </c>
      <c r="E48" s="74">
        <v>4152</v>
      </c>
      <c r="F48" s="74">
        <v>6840</v>
      </c>
      <c r="G48" s="74">
        <v>433</v>
      </c>
      <c r="H48" s="74">
        <v>2688</v>
      </c>
      <c r="I48" s="74">
        <v>253</v>
      </c>
      <c r="J48" s="74">
        <v>180</v>
      </c>
    </row>
    <row r="49" spans="1:10" x14ac:dyDescent="0.25">
      <c r="A49" s="73" t="s">
        <v>177</v>
      </c>
      <c r="B49" s="74">
        <v>279</v>
      </c>
      <c r="C49" s="74">
        <v>282</v>
      </c>
      <c r="D49" s="74">
        <v>561</v>
      </c>
      <c r="E49" s="74">
        <v>45</v>
      </c>
      <c r="F49" s="74">
        <v>81</v>
      </c>
      <c r="G49" s="74">
        <v>66</v>
      </c>
      <c r="H49" s="74">
        <v>36</v>
      </c>
      <c r="I49" s="74">
        <v>27</v>
      </c>
      <c r="J49" s="74">
        <v>39</v>
      </c>
    </row>
    <row r="50" spans="1:10" x14ac:dyDescent="0.25">
      <c r="A50" s="73" t="s">
        <v>173</v>
      </c>
      <c r="B50" s="74">
        <v>3507548</v>
      </c>
      <c r="C50" s="74">
        <v>3419297</v>
      </c>
      <c r="D50" s="74">
        <v>6999216</v>
      </c>
      <c r="E50" s="74">
        <v>483100</v>
      </c>
      <c r="F50" s="74">
        <v>987870</v>
      </c>
      <c r="G50" s="74">
        <v>281040</v>
      </c>
      <c r="H50" s="74">
        <v>503361</v>
      </c>
      <c r="I50" s="74">
        <v>142118</v>
      </c>
      <c r="J50" s="74">
        <v>138810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88"/>
  <sheetViews>
    <sheetView view="pageBreakPreview" zoomScale="60" workbookViewId="0">
      <selection activeCell="B12" sqref="B12"/>
    </sheetView>
  </sheetViews>
  <sheetFormatPr defaultRowHeight="15" x14ac:dyDescent="0.25"/>
  <cols>
    <col min="2" max="2" width="38" customWidth="1"/>
    <col min="3" max="3" width="12" customWidth="1"/>
    <col min="4" max="4" width="10.28515625" bestFit="1" customWidth="1"/>
    <col min="5" max="5" width="11.5703125" bestFit="1" customWidth="1"/>
    <col min="6" max="7" width="10.28515625" bestFit="1" customWidth="1"/>
    <col min="8" max="8" width="11.5703125" bestFit="1" customWidth="1"/>
    <col min="12" max="13" width="10.28515625" bestFit="1" customWidth="1"/>
    <col min="14" max="14" width="11.5703125" bestFit="1" customWidth="1"/>
    <col min="18" max="18" width="11.42578125" customWidth="1"/>
    <col min="19" max="19" width="10.28515625" bestFit="1" customWidth="1"/>
    <col min="20" max="20" width="11.5703125" bestFit="1" customWidth="1"/>
    <col min="22" max="26" width="10.28515625" bestFit="1" customWidth="1"/>
  </cols>
  <sheetData>
    <row r="1" spans="1:32" ht="18" customHeight="1" x14ac:dyDescent="0.25">
      <c r="A1" s="144"/>
      <c r="B1" s="163"/>
      <c r="C1" s="511" t="s">
        <v>257</v>
      </c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157" t="s">
        <v>257</v>
      </c>
      <c r="S1" s="157"/>
      <c r="T1" s="157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</row>
    <row r="2" spans="1:32" ht="15.75" customHeight="1" x14ac:dyDescent="0.25">
      <c r="A2" s="164"/>
      <c r="B2" s="165"/>
      <c r="C2" s="512" t="s">
        <v>258</v>
      </c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146" t="s">
        <v>336</v>
      </c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</row>
    <row r="3" spans="1:32" ht="15" customHeight="1" x14ac:dyDescent="0.25">
      <c r="A3" s="484" t="s">
        <v>192</v>
      </c>
      <c r="B3" s="482" t="s">
        <v>260</v>
      </c>
      <c r="C3" s="482" t="s">
        <v>188</v>
      </c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508" t="s">
        <v>189</v>
      </c>
      <c r="P3" s="508"/>
      <c r="Q3" s="508"/>
      <c r="R3" s="533" t="s">
        <v>193</v>
      </c>
      <c r="S3" s="534"/>
      <c r="T3" s="535"/>
      <c r="U3" s="533" t="s">
        <v>194</v>
      </c>
      <c r="V3" s="534"/>
      <c r="W3" s="534"/>
      <c r="X3" s="534"/>
      <c r="Y3" s="534"/>
      <c r="Z3" s="535"/>
      <c r="AA3" s="533" t="s">
        <v>261</v>
      </c>
      <c r="AB3" s="534"/>
      <c r="AC3" s="534"/>
      <c r="AD3" s="534"/>
      <c r="AE3" s="534"/>
      <c r="AF3" s="535"/>
    </row>
    <row r="4" spans="1:32" x14ac:dyDescent="0.25">
      <c r="A4" s="484"/>
      <c r="B4" s="482"/>
      <c r="C4" s="482" t="s">
        <v>5</v>
      </c>
      <c r="D4" s="482"/>
      <c r="E4" s="482"/>
      <c r="F4" s="482" t="s">
        <v>6</v>
      </c>
      <c r="G4" s="482"/>
      <c r="H4" s="482"/>
      <c r="I4" s="482"/>
      <c r="J4" s="482"/>
      <c r="K4" s="482"/>
      <c r="L4" s="482"/>
      <c r="M4" s="482"/>
      <c r="N4" s="482"/>
      <c r="O4" s="508"/>
      <c r="P4" s="508"/>
      <c r="Q4" s="508"/>
      <c r="R4" s="536"/>
      <c r="S4" s="537"/>
      <c r="T4" s="538"/>
      <c r="U4" s="539"/>
      <c r="V4" s="540"/>
      <c r="W4" s="540"/>
      <c r="X4" s="540"/>
      <c r="Y4" s="540"/>
      <c r="Z4" s="541"/>
      <c r="AA4" s="539"/>
      <c r="AB4" s="540"/>
      <c r="AC4" s="540"/>
      <c r="AD4" s="540"/>
      <c r="AE4" s="540"/>
      <c r="AF4" s="541"/>
    </row>
    <row r="5" spans="1:32" ht="15" customHeight="1" x14ac:dyDescent="0.25">
      <c r="A5" s="484"/>
      <c r="B5" s="482"/>
      <c r="C5" s="482"/>
      <c r="D5" s="482"/>
      <c r="E5" s="482"/>
      <c r="F5" s="482" t="s">
        <v>51</v>
      </c>
      <c r="G5" s="482"/>
      <c r="H5" s="482"/>
      <c r="I5" s="482" t="s">
        <v>190</v>
      </c>
      <c r="J5" s="482"/>
      <c r="K5" s="482"/>
      <c r="L5" s="482" t="s">
        <v>262</v>
      </c>
      <c r="M5" s="482"/>
      <c r="N5" s="482"/>
      <c r="O5" s="508"/>
      <c r="P5" s="508"/>
      <c r="Q5" s="508"/>
      <c r="R5" s="539"/>
      <c r="S5" s="540"/>
      <c r="T5" s="541"/>
      <c r="U5" s="542" t="s">
        <v>229</v>
      </c>
      <c r="V5" s="543"/>
      <c r="W5" s="544"/>
      <c r="X5" s="542" t="s">
        <v>230</v>
      </c>
      <c r="Y5" s="543"/>
      <c r="Z5" s="544"/>
      <c r="AA5" s="542" t="s">
        <v>229</v>
      </c>
      <c r="AB5" s="543"/>
      <c r="AC5" s="544"/>
      <c r="AD5" s="542" t="s">
        <v>230</v>
      </c>
      <c r="AE5" s="543"/>
      <c r="AF5" s="544"/>
    </row>
    <row r="6" spans="1:32" x14ac:dyDescent="0.25">
      <c r="A6" s="484"/>
      <c r="B6" s="482"/>
      <c r="C6" s="158" t="s">
        <v>43</v>
      </c>
      <c r="D6" s="158" t="s">
        <v>44</v>
      </c>
      <c r="E6" s="158" t="s">
        <v>3</v>
      </c>
      <c r="F6" s="158" t="s">
        <v>43</v>
      </c>
      <c r="G6" s="158" t="s">
        <v>44</v>
      </c>
      <c r="H6" s="158" t="s">
        <v>3</v>
      </c>
      <c r="I6" s="158" t="s">
        <v>43</v>
      </c>
      <c r="J6" s="158" t="s">
        <v>44</v>
      </c>
      <c r="K6" s="158" t="s">
        <v>3</v>
      </c>
      <c r="L6" s="158" t="s">
        <v>43</v>
      </c>
      <c r="M6" s="158" t="s">
        <v>44</v>
      </c>
      <c r="N6" s="158" t="s">
        <v>3</v>
      </c>
      <c r="O6" s="159" t="s">
        <v>43</v>
      </c>
      <c r="P6" s="159" t="s">
        <v>44</v>
      </c>
      <c r="Q6" s="159" t="s">
        <v>3</v>
      </c>
      <c r="R6" s="158" t="s">
        <v>43</v>
      </c>
      <c r="S6" s="158" t="s">
        <v>44</v>
      </c>
      <c r="T6" s="158" t="s">
        <v>3</v>
      </c>
      <c r="U6" s="158" t="s">
        <v>43</v>
      </c>
      <c r="V6" s="158" t="s">
        <v>44</v>
      </c>
      <c r="W6" s="158" t="s">
        <v>3</v>
      </c>
      <c r="X6" s="158" t="s">
        <v>43</v>
      </c>
      <c r="Y6" s="158" t="s">
        <v>44</v>
      </c>
      <c r="Z6" s="158" t="s">
        <v>3</v>
      </c>
      <c r="AA6" s="158" t="s">
        <v>43</v>
      </c>
      <c r="AB6" s="158" t="s">
        <v>44</v>
      </c>
      <c r="AC6" s="158" t="s">
        <v>3</v>
      </c>
      <c r="AD6" s="158" t="s">
        <v>43</v>
      </c>
      <c r="AE6" s="158" t="s">
        <v>44</v>
      </c>
      <c r="AF6" s="158" t="s">
        <v>3</v>
      </c>
    </row>
    <row r="7" spans="1:32" x14ac:dyDescent="0.25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115">
        <v>15</v>
      </c>
      <c r="P7" s="115">
        <v>16</v>
      </c>
      <c r="Q7" s="115">
        <v>17</v>
      </c>
      <c r="R7" s="78">
        <v>3</v>
      </c>
      <c r="S7" s="78">
        <v>4</v>
      </c>
      <c r="T7" s="78">
        <v>5</v>
      </c>
      <c r="U7" s="78">
        <v>6</v>
      </c>
      <c r="V7" s="78">
        <v>7</v>
      </c>
      <c r="W7" s="78">
        <v>8</v>
      </c>
      <c r="X7" s="78">
        <v>9</v>
      </c>
      <c r="Y7" s="78">
        <v>10</v>
      </c>
      <c r="Z7" s="78">
        <v>11</v>
      </c>
      <c r="AA7" s="78">
        <v>12</v>
      </c>
      <c r="AB7" s="78">
        <v>13</v>
      </c>
      <c r="AC7" s="78">
        <v>14</v>
      </c>
      <c r="AD7" s="78">
        <v>15</v>
      </c>
      <c r="AE7" s="78">
        <v>16</v>
      </c>
      <c r="AF7" s="78">
        <v>17</v>
      </c>
    </row>
    <row r="8" spans="1:32" x14ac:dyDescent="0.25">
      <c r="A8" s="506" t="s">
        <v>216</v>
      </c>
      <c r="B8" s="506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29"/>
      <c r="S8" s="530"/>
      <c r="T8" s="530"/>
      <c r="U8" s="530"/>
      <c r="V8" s="530"/>
      <c r="W8" s="530"/>
      <c r="X8" s="530"/>
      <c r="Y8" s="530"/>
      <c r="Z8" s="530"/>
      <c r="AA8" s="530"/>
      <c r="AB8" s="530"/>
      <c r="AC8" s="530"/>
      <c r="AD8" s="530"/>
      <c r="AE8" s="530"/>
      <c r="AF8" s="531"/>
    </row>
    <row r="9" spans="1:32" ht="28.5" x14ac:dyDescent="0.25">
      <c r="A9" s="220">
        <v>1</v>
      </c>
      <c r="B9" s="221" t="s">
        <v>143</v>
      </c>
      <c r="C9" s="170">
        <v>815106</v>
      </c>
      <c r="D9" s="170">
        <v>554364</v>
      </c>
      <c r="E9" s="170">
        <v>1369470</v>
      </c>
      <c r="F9" s="170">
        <v>788283</v>
      </c>
      <c r="G9" s="170">
        <v>540652</v>
      </c>
      <c r="H9" s="170">
        <v>1328935</v>
      </c>
      <c r="I9" s="170">
        <v>14078</v>
      </c>
      <c r="J9" s="170">
        <v>6629</v>
      </c>
      <c r="K9" s="170">
        <v>20707</v>
      </c>
      <c r="L9" s="169">
        <v>802361</v>
      </c>
      <c r="M9" s="169">
        <v>547281</v>
      </c>
      <c r="N9" s="169">
        <v>1349642</v>
      </c>
      <c r="O9" s="222">
        <v>98.436399682986021</v>
      </c>
      <c r="P9" s="222">
        <v>98.722319631144885</v>
      </c>
      <c r="Q9" s="222">
        <v>98.552140609140764</v>
      </c>
      <c r="R9" s="172">
        <f>L9</f>
        <v>802361</v>
      </c>
      <c r="S9" s="172">
        <f t="shared" ref="S9:T9" si="0">M9</f>
        <v>547281</v>
      </c>
      <c r="T9" s="172">
        <f t="shared" si="0"/>
        <v>1349642</v>
      </c>
      <c r="U9" s="223"/>
      <c r="V9" s="223"/>
      <c r="W9" s="223"/>
      <c r="X9" s="223"/>
      <c r="Y9" s="223"/>
      <c r="Z9" s="223"/>
      <c r="AA9" s="224"/>
      <c r="AB9" s="224"/>
      <c r="AC9" s="224"/>
      <c r="AD9" s="224"/>
      <c r="AE9" s="224"/>
      <c r="AF9" s="224"/>
    </row>
    <row r="10" spans="1:32" ht="28.5" x14ac:dyDescent="0.25">
      <c r="A10" s="220">
        <v>2</v>
      </c>
      <c r="B10" s="221" t="s">
        <v>231</v>
      </c>
      <c r="C10" s="170">
        <v>88205</v>
      </c>
      <c r="D10" s="170">
        <v>70632</v>
      </c>
      <c r="E10" s="170">
        <v>158837</v>
      </c>
      <c r="F10" s="170">
        <v>86551</v>
      </c>
      <c r="G10" s="170">
        <v>69893</v>
      </c>
      <c r="H10" s="170">
        <v>156444</v>
      </c>
      <c r="I10" s="212"/>
      <c r="J10" s="212"/>
      <c r="K10" s="212"/>
      <c r="L10" s="169">
        <v>86551</v>
      </c>
      <c r="M10" s="169">
        <v>69893</v>
      </c>
      <c r="N10" s="169">
        <v>156444</v>
      </c>
      <c r="O10" s="222">
        <v>98.124822855847171</v>
      </c>
      <c r="P10" s="222">
        <v>98.953732019481251</v>
      </c>
      <c r="Q10" s="222">
        <v>98.493424076254271</v>
      </c>
      <c r="R10" s="172">
        <f t="shared" ref="R10:T10" si="1">L10</f>
        <v>86551</v>
      </c>
      <c r="S10" s="172">
        <f t="shared" si="1"/>
        <v>69893</v>
      </c>
      <c r="T10" s="172">
        <f t="shared" si="1"/>
        <v>156444</v>
      </c>
      <c r="U10" s="172">
        <v>49566</v>
      </c>
      <c r="V10" s="172">
        <v>45068</v>
      </c>
      <c r="W10" s="172">
        <f>U10+V10</f>
        <v>94634</v>
      </c>
      <c r="X10" s="172">
        <v>26820</v>
      </c>
      <c r="Y10" s="172">
        <v>19729</v>
      </c>
      <c r="Z10" s="172">
        <f>X10+Y10</f>
        <v>46549</v>
      </c>
      <c r="AA10" s="177">
        <f t="shared" ref="AA10:AC10" si="2">U10/R10%</f>
        <v>57.267969174244087</v>
      </c>
      <c r="AB10" s="177">
        <f t="shared" si="2"/>
        <v>64.481421601591009</v>
      </c>
      <c r="AC10" s="177">
        <f t="shared" si="2"/>
        <v>60.490654802996595</v>
      </c>
      <c r="AD10" s="177">
        <f t="shared" ref="AD10:AF10" si="3">X10/R10%</f>
        <v>30.987510254069853</v>
      </c>
      <c r="AE10" s="177">
        <f t="shared" si="3"/>
        <v>28.227433362425423</v>
      </c>
      <c r="AF10" s="177">
        <f t="shared" si="3"/>
        <v>29.754416915957147</v>
      </c>
    </row>
    <row r="11" spans="1:32" x14ac:dyDescent="0.25">
      <c r="A11" s="545" t="s">
        <v>217</v>
      </c>
      <c r="B11" s="546"/>
      <c r="C11" s="547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9"/>
      <c r="R11" s="160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</row>
    <row r="12" spans="1:32" ht="28.5" x14ac:dyDescent="0.25">
      <c r="A12" s="220">
        <v>3</v>
      </c>
      <c r="B12" s="221" t="s">
        <v>263</v>
      </c>
      <c r="C12" s="170">
        <v>336801</v>
      </c>
      <c r="D12" s="170">
        <v>308160</v>
      </c>
      <c r="E12" s="170">
        <v>644961</v>
      </c>
      <c r="F12" s="170">
        <v>297806</v>
      </c>
      <c r="G12" s="170">
        <v>279213</v>
      </c>
      <c r="H12" s="170">
        <v>577019</v>
      </c>
      <c r="I12" s="212"/>
      <c r="J12" s="212"/>
      <c r="K12" s="212"/>
      <c r="L12" s="169">
        <v>297806</v>
      </c>
      <c r="M12" s="169">
        <v>279213</v>
      </c>
      <c r="N12" s="170">
        <v>577019</v>
      </c>
      <c r="O12" s="222">
        <v>88.421946490657689</v>
      </c>
      <c r="P12" s="222">
        <v>90.6065031152648</v>
      </c>
      <c r="Q12" s="222">
        <v>89.465719632659955</v>
      </c>
      <c r="R12" s="172">
        <v>297806</v>
      </c>
      <c r="S12" s="172">
        <v>279213</v>
      </c>
      <c r="T12" s="172">
        <v>577019</v>
      </c>
      <c r="U12" s="168">
        <v>1168</v>
      </c>
      <c r="V12" s="168">
        <v>1135</v>
      </c>
      <c r="W12" s="172">
        <v>2303</v>
      </c>
      <c r="X12" s="172">
        <v>10575</v>
      </c>
      <c r="Y12" s="172">
        <v>5104</v>
      </c>
      <c r="Z12" s="172">
        <v>15679</v>
      </c>
      <c r="AA12" s="177">
        <v>0.39220163462119634</v>
      </c>
      <c r="AB12" s="177">
        <v>0.40649969736366143</v>
      </c>
      <c r="AC12" s="177">
        <v>0.39912030626374523</v>
      </c>
      <c r="AD12" s="177">
        <v>3.5509694230472189</v>
      </c>
      <c r="AE12" s="177">
        <v>1.8279951148406413</v>
      </c>
      <c r="AF12" s="177">
        <v>2.7172415466388458</v>
      </c>
    </row>
    <row r="13" spans="1:32" ht="28.5" x14ac:dyDescent="0.25">
      <c r="A13" s="220">
        <v>4</v>
      </c>
      <c r="B13" s="221" t="s">
        <v>213</v>
      </c>
      <c r="C13" s="170">
        <v>291663</v>
      </c>
      <c r="D13" s="170">
        <v>271129</v>
      </c>
      <c r="E13" s="170">
        <v>562792</v>
      </c>
      <c r="F13" s="170">
        <v>209437</v>
      </c>
      <c r="G13" s="170">
        <v>208728</v>
      </c>
      <c r="H13" s="170">
        <v>418165</v>
      </c>
      <c r="I13" s="212"/>
      <c r="J13" s="212"/>
      <c r="K13" s="212"/>
      <c r="L13" s="169">
        <v>209437</v>
      </c>
      <c r="M13" s="169">
        <v>208728</v>
      </c>
      <c r="N13" s="170">
        <v>418165</v>
      </c>
      <c r="O13" s="222">
        <v>71.807874156132243</v>
      </c>
      <c r="P13" s="222">
        <v>76.984756333700929</v>
      </c>
      <c r="Q13" s="222">
        <v>74.301873516325742</v>
      </c>
      <c r="R13" s="172">
        <v>209437</v>
      </c>
      <c r="S13" s="172">
        <v>208728</v>
      </c>
      <c r="T13" s="172">
        <v>418165</v>
      </c>
      <c r="U13" s="223"/>
      <c r="V13" s="223"/>
      <c r="W13" s="223"/>
      <c r="X13" s="223"/>
      <c r="Y13" s="223"/>
      <c r="Z13" s="223"/>
      <c r="AA13" s="224"/>
      <c r="AB13" s="224"/>
      <c r="AC13" s="224"/>
      <c r="AD13" s="224"/>
      <c r="AE13" s="224"/>
      <c r="AF13" s="224"/>
    </row>
    <row r="14" spans="1:32" ht="27.75" customHeight="1" x14ac:dyDescent="0.25">
      <c r="A14" s="220">
        <v>5</v>
      </c>
      <c r="B14" s="221" t="s">
        <v>264</v>
      </c>
      <c r="C14" s="227">
        <v>191440</v>
      </c>
      <c r="D14" s="227">
        <v>205571</v>
      </c>
      <c r="E14" s="227">
        <v>397011</v>
      </c>
      <c r="F14" s="227">
        <v>127677</v>
      </c>
      <c r="G14" s="227">
        <v>120005</v>
      </c>
      <c r="H14" s="227">
        <v>247682</v>
      </c>
      <c r="I14" s="212"/>
      <c r="J14" s="212"/>
      <c r="K14" s="212"/>
      <c r="L14" s="31">
        <v>127677</v>
      </c>
      <c r="M14" s="31">
        <v>120005</v>
      </c>
      <c r="N14" s="227">
        <v>247682</v>
      </c>
      <c r="O14" s="222">
        <v>66.692958629335564</v>
      </c>
      <c r="P14" s="222">
        <v>58.376424690253003</v>
      </c>
      <c r="Q14" s="222">
        <v>62.386684499925693</v>
      </c>
      <c r="R14" s="32">
        <v>127677</v>
      </c>
      <c r="S14" s="32">
        <v>120005</v>
      </c>
      <c r="T14" s="32">
        <v>247682</v>
      </c>
      <c r="U14" s="32">
        <v>8558</v>
      </c>
      <c r="V14" s="32">
        <v>7912</v>
      </c>
      <c r="W14" s="32">
        <v>16470</v>
      </c>
      <c r="X14" s="32">
        <v>28294</v>
      </c>
      <c r="Y14" s="32">
        <v>23501</v>
      </c>
      <c r="Z14" s="32">
        <v>51795</v>
      </c>
      <c r="AA14" s="181">
        <v>6.7028517274058759</v>
      </c>
      <c r="AB14" s="181">
        <v>6.5930586225573933</v>
      </c>
      <c r="AC14" s="181">
        <v>6.6496556067861201</v>
      </c>
      <c r="AD14" s="181">
        <v>22.160608410285331</v>
      </c>
      <c r="AE14" s="181">
        <v>19.583350693721094</v>
      </c>
      <c r="AF14" s="181">
        <v>20.911895091286407</v>
      </c>
    </row>
    <row r="15" spans="1:32" x14ac:dyDescent="0.25">
      <c r="A15" s="220">
        <v>6</v>
      </c>
      <c r="B15" s="221" t="s">
        <v>265</v>
      </c>
      <c r="C15" s="170">
        <v>8200</v>
      </c>
      <c r="D15" s="170">
        <v>4200</v>
      </c>
      <c r="E15" s="170">
        <v>12400</v>
      </c>
      <c r="F15" s="170">
        <v>6000</v>
      </c>
      <c r="G15" s="170">
        <v>3400</v>
      </c>
      <c r="H15" s="170">
        <v>9400</v>
      </c>
      <c r="I15" s="212"/>
      <c r="J15" s="212"/>
      <c r="K15" s="212"/>
      <c r="L15" s="169">
        <v>6000</v>
      </c>
      <c r="M15" s="169">
        <v>3400</v>
      </c>
      <c r="N15" s="170">
        <v>9400</v>
      </c>
      <c r="O15" s="222">
        <v>73.170731707317074</v>
      </c>
      <c r="P15" s="222">
        <v>80.952380952380949</v>
      </c>
      <c r="Q15" s="222">
        <v>75.806451612903231</v>
      </c>
      <c r="R15" s="172">
        <v>6000</v>
      </c>
      <c r="S15" s="172">
        <v>3400</v>
      </c>
      <c r="T15" s="172">
        <v>9400</v>
      </c>
      <c r="U15" s="223"/>
      <c r="V15" s="223"/>
      <c r="W15" s="223"/>
      <c r="X15" s="223"/>
      <c r="Y15" s="223"/>
      <c r="Z15" s="223"/>
      <c r="AA15" s="224"/>
      <c r="AB15" s="224"/>
      <c r="AC15" s="224"/>
      <c r="AD15" s="224"/>
      <c r="AE15" s="224"/>
      <c r="AF15" s="224"/>
    </row>
    <row r="16" spans="1:32" x14ac:dyDescent="0.25">
      <c r="A16" s="220">
        <v>7</v>
      </c>
      <c r="B16" s="221" t="s">
        <v>266</v>
      </c>
      <c r="C16" s="170">
        <v>23</v>
      </c>
      <c r="D16" s="170">
        <v>212</v>
      </c>
      <c r="E16" s="170">
        <v>235</v>
      </c>
      <c r="F16" s="170">
        <v>22</v>
      </c>
      <c r="G16" s="170">
        <v>206</v>
      </c>
      <c r="H16" s="170">
        <v>228</v>
      </c>
      <c r="I16" s="170">
        <v>1</v>
      </c>
      <c r="J16" s="170">
        <v>6</v>
      </c>
      <c r="K16" s="170">
        <v>7</v>
      </c>
      <c r="L16" s="169">
        <v>23</v>
      </c>
      <c r="M16" s="169">
        <v>212</v>
      </c>
      <c r="N16" s="170">
        <v>235</v>
      </c>
      <c r="O16" s="222">
        <v>100</v>
      </c>
      <c r="P16" s="222">
        <v>100</v>
      </c>
      <c r="Q16" s="222">
        <v>100</v>
      </c>
      <c r="R16" s="172">
        <v>23</v>
      </c>
      <c r="S16" s="172">
        <v>212</v>
      </c>
      <c r="T16" s="172">
        <v>235</v>
      </c>
      <c r="U16" s="180">
        <v>5</v>
      </c>
      <c r="V16" s="180">
        <v>70</v>
      </c>
      <c r="W16" s="172">
        <v>75</v>
      </c>
      <c r="X16" s="172">
        <v>10</v>
      </c>
      <c r="Y16" s="172">
        <v>96</v>
      </c>
      <c r="Z16" s="172">
        <v>106</v>
      </c>
      <c r="AA16" s="177">
        <v>21.739130434782609</v>
      </c>
      <c r="AB16" s="177">
        <v>33.018867924528301</v>
      </c>
      <c r="AC16" s="177">
        <v>31.914893617021274</v>
      </c>
      <c r="AD16" s="177">
        <v>43.478260869565219</v>
      </c>
      <c r="AE16" s="177">
        <v>45.283018867924525</v>
      </c>
      <c r="AF16" s="177">
        <v>45.106382978723403</v>
      </c>
    </row>
    <row r="17" spans="1:32" x14ac:dyDescent="0.25">
      <c r="A17" s="220">
        <v>8</v>
      </c>
      <c r="B17" s="221" t="s">
        <v>138</v>
      </c>
      <c r="C17" s="170">
        <v>691074</v>
      </c>
      <c r="D17" s="170">
        <v>592982</v>
      </c>
      <c r="E17" s="170">
        <v>1284056</v>
      </c>
      <c r="F17" s="170">
        <v>544118</v>
      </c>
      <c r="G17" s="170">
        <v>435608</v>
      </c>
      <c r="H17" s="170">
        <v>979726</v>
      </c>
      <c r="I17" s="170">
        <v>20716</v>
      </c>
      <c r="J17" s="170">
        <v>30775</v>
      </c>
      <c r="K17" s="170">
        <v>51491</v>
      </c>
      <c r="L17" s="169">
        <v>564834</v>
      </c>
      <c r="M17" s="169">
        <v>466383</v>
      </c>
      <c r="N17" s="170">
        <v>1031217</v>
      </c>
      <c r="O17" s="222">
        <v>81.732781149341463</v>
      </c>
      <c r="P17" s="222">
        <v>78.650448074309168</v>
      </c>
      <c r="Q17" s="222">
        <v>80.30934787890871</v>
      </c>
      <c r="R17" s="172">
        <v>564834</v>
      </c>
      <c r="S17" s="172">
        <v>466383</v>
      </c>
      <c r="T17" s="172">
        <v>1031217</v>
      </c>
      <c r="U17" s="180">
        <v>11947</v>
      </c>
      <c r="V17" s="180">
        <v>6070</v>
      </c>
      <c r="W17" s="172">
        <v>18017</v>
      </c>
      <c r="X17" s="172">
        <v>174254</v>
      </c>
      <c r="Y17" s="172">
        <v>113983</v>
      </c>
      <c r="Z17" s="172">
        <v>288237</v>
      </c>
      <c r="AA17" s="177">
        <v>2.1151347121455153</v>
      </c>
      <c r="AB17" s="177">
        <v>1.3015054150773078</v>
      </c>
      <c r="AC17" s="177">
        <v>1.7471589393890907</v>
      </c>
      <c r="AD17" s="177">
        <v>30.850479964024828</v>
      </c>
      <c r="AE17" s="177">
        <v>24.439784468987934</v>
      </c>
      <c r="AF17" s="177">
        <v>27.951148982221977</v>
      </c>
    </row>
    <row r="18" spans="1:32" x14ac:dyDescent="0.25">
      <c r="A18" s="220">
        <v>9</v>
      </c>
      <c r="B18" s="221" t="s">
        <v>267</v>
      </c>
      <c r="C18" s="170">
        <v>32267</v>
      </c>
      <c r="D18" s="170">
        <v>53525</v>
      </c>
      <c r="E18" s="170">
        <v>85792</v>
      </c>
      <c r="F18" s="170">
        <v>24273</v>
      </c>
      <c r="G18" s="170">
        <v>47923</v>
      </c>
      <c r="H18" s="170">
        <v>72196</v>
      </c>
      <c r="I18" s="212"/>
      <c r="J18" s="212"/>
      <c r="K18" s="212"/>
      <c r="L18" s="169">
        <v>24273</v>
      </c>
      <c r="M18" s="169">
        <v>47923</v>
      </c>
      <c r="N18" s="170">
        <v>72196</v>
      </c>
      <c r="O18" s="222">
        <v>75.22546254687451</v>
      </c>
      <c r="P18" s="222">
        <v>89.533862680990197</v>
      </c>
      <c r="Q18" s="222">
        <v>84.152368519209247</v>
      </c>
      <c r="R18" s="172">
        <v>24273</v>
      </c>
      <c r="S18" s="172">
        <v>47923</v>
      </c>
      <c r="T18" s="172">
        <v>72196</v>
      </c>
      <c r="U18" s="180">
        <v>1665</v>
      </c>
      <c r="V18" s="180">
        <v>2613</v>
      </c>
      <c r="W18" s="172">
        <v>4278</v>
      </c>
      <c r="X18" s="172">
        <v>14985</v>
      </c>
      <c r="Y18" s="172">
        <v>23525</v>
      </c>
      <c r="Z18" s="172">
        <v>38510</v>
      </c>
      <c r="AA18" s="177">
        <v>6.8594734890619211</v>
      </c>
      <c r="AB18" s="177">
        <v>5.4524967134778706</v>
      </c>
      <c r="AC18" s="177">
        <v>5.9255360407778825</v>
      </c>
      <c r="AD18" s="177">
        <v>61.735261401557288</v>
      </c>
      <c r="AE18" s="177">
        <v>49.089163867036703</v>
      </c>
      <c r="AF18" s="177">
        <v>53.340905313313755</v>
      </c>
    </row>
    <row r="19" spans="1:32" ht="28.5" x14ac:dyDescent="0.25">
      <c r="A19" s="220">
        <v>10</v>
      </c>
      <c r="B19" s="221" t="s">
        <v>145</v>
      </c>
      <c r="C19" s="170">
        <v>204857</v>
      </c>
      <c r="D19" s="170">
        <v>221798</v>
      </c>
      <c r="E19" s="170">
        <v>426655</v>
      </c>
      <c r="F19" s="170">
        <v>109569</v>
      </c>
      <c r="G19" s="170">
        <v>120890</v>
      </c>
      <c r="H19" s="170">
        <v>230459</v>
      </c>
      <c r="I19" s="170">
        <v>4297</v>
      </c>
      <c r="J19" s="170">
        <v>5269</v>
      </c>
      <c r="K19" s="170">
        <v>9566</v>
      </c>
      <c r="L19" s="170">
        <v>113866</v>
      </c>
      <c r="M19" s="170">
        <v>126159</v>
      </c>
      <c r="N19" s="170">
        <v>240025</v>
      </c>
      <c r="O19" s="222">
        <v>55.583162889234927</v>
      </c>
      <c r="P19" s="222">
        <v>56.880134176142263</v>
      </c>
      <c r="Q19" s="222">
        <v>56.257397663217354</v>
      </c>
      <c r="R19" s="172">
        <v>113866</v>
      </c>
      <c r="S19" s="172">
        <v>126159</v>
      </c>
      <c r="T19" s="172">
        <v>240025</v>
      </c>
      <c r="U19" s="180">
        <v>6698</v>
      </c>
      <c r="V19" s="180">
        <v>6499</v>
      </c>
      <c r="W19" s="172">
        <v>13197</v>
      </c>
      <c r="X19" s="172">
        <v>14826</v>
      </c>
      <c r="Y19" s="172">
        <v>16087</v>
      </c>
      <c r="Z19" s="172">
        <v>30913</v>
      </c>
      <c r="AA19" s="177">
        <v>5.8823529411764701</v>
      </c>
      <c r="AB19" s="177">
        <v>5.1514358864607361</v>
      </c>
      <c r="AC19" s="177">
        <v>5.4981772732007084</v>
      </c>
      <c r="AD19" s="177">
        <v>13.020568036112623</v>
      </c>
      <c r="AE19" s="177">
        <v>12.751369303815029</v>
      </c>
      <c r="AF19" s="177">
        <v>12.879075096344131</v>
      </c>
    </row>
    <row r="20" spans="1:32" x14ac:dyDescent="0.25">
      <c r="A20" s="220">
        <v>11</v>
      </c>
      <c r="B20" s="221" t="s">
        <v>268</v>
      </c>
      <c r="C20" s="170">
        <v>53</v>
      </c>
      <c r="D20" s="170">
        <v>23</v>
      </c>
      <c r="E20" s="170">
        <v>76</v>
      </c>
      <c r="F20" s="170">
        <v>12</v>
      </c>
      <c r="G20" s="170">
        <v>9</v>
      </c>
      <c r="H20" s="170">
        <v>21</v>
      </c>
      <c r="I20" s="212"/>
      <c r="J20" s="212"/>
      <c r="K20" s="212"/>
      <c r="L20" s="170">
        <v>12</v>
      </c>
      <c r="M20" s="170">
        <v>9</v>
      </c>
      <c r="N20" s="170">
        <v>21</v>
      </c>
      <c r="O20" s="222">
        <v>22.641509433962266</v>
      </c>
      <c r="P20" s="222">
        <v>39.130434782608695</v>
      </c>
      <c r="Q20" s="222">
        <v>27.631578947368425</v>
      </c>
      <c r="R20" s="172">
        <v>12</v>
      </c>
      <c r="S20" s="172">
        <v>9</v>
      </c>
      <c r="T20" s="172">
        <v>21</v>
      </c>
      <c r="U20" s="223"/>
      <c r="V20" s="223"/>
      <c r="W20" s="223"/>
      <c r="X20" s="172">
        <v>0</v>
      </c>
      <c r="Y20" s="172">
        <v>1</v>
      </c>
      <c r="Z20" s="172">
        <v>1</v>
      </c>
      <c r="AA20" s="224"/>
      <c r="AB20" s="224"/>
      <c r="AC20" s="224"/>
      <c r="AD20" s="177">
        <v>0</v>
      </c>
      <c r="AE20" s="177">
        <v>11.111111111111111</v>
      </c>
      <c r="AF20" s="177">
        <v>4.7619047619047619</v>
      </c>
    </row>
    <row r="21" spans="1:32" x14ac:dyDescent="0.25">
      <c r="A21" s="220">
        <v>12</v>
      </c>
      <c r="B21" s="221" t="s">
        <v>144</v>
      </c>
      <c r="C21" s="170">
        <v>316</v>
      </c>
      <c r="D21" s="170">
        <v>256</v>
      </c>
      <c r="E21" s="170">
        <v>572</v>
      </c>
      <c r="F21" s="170">
        <v>311</v>
      </c>
      <c r="G21" s="170">
        <v>252</v>
      </c>
      <c r="H21" s="170">
        <v>563</v>
      </c>
      <c r="I21" s="212"/>
      <c r="J21" s="212"/>
      <c r="K21" s="212"/>
      <c r="L21" s="169">
        <v>311</v>
      </c>
      <c r="M21" s="169">
        <v>252</v>
      </c>
      <c r="N21" s="170">
        <v>563</v>
      </c>
      <c r="O21" s="222">
        <v>98.417721518987349</v>
      </c>
      <c r="P21" s="222">
        <v>98.4375</v>
      </c>
      <c r="Q21" s="222">
        <v>98.426573426573427</v>
      </c>
      <c r="R21" s="172">
        <v>311</v>
      </c>
      <c r="S21" s="172">
        <v>252</v>
      </c>
      <c r="T21" s="172">
        <v>563</v>
      </c>
      <c r="U21" s="223"/>
      <c r="V21" s="223"/>
      <c r="W21" s="223"/>
      <c r="X21" s="223"/>
      <c r="Y21" s="223"/>
      <c r="Z21" s="223"/>
      <c r="AA21" s="224"/>
      <c r="AB21" s="224"/>
      <c r="AC21" s="224"/>
      <c r="AD21" s="224"/>
      <c r="AE21" s="224"/>
      <c r="AF21" s="224"/>
    </row>
    <row r="22" spans="1:32" ht="28.5" x14ac:dyDescent="0.25">
      <c r="A22" s="220">
        <v>13</v>
      </c>
      <c r="B22" s="221" t="s">
        <v>148</v>
      </c>
      <c r="C22" s="230">
        <v>10742</v>
      </c>
      <c r="D22" s="230">
        <v>10444</v>
      </c>
      <c r="E22" s="230">
        <v>21186</v>
      </c>
      <c r="F22" s="230">
        <v>8599</v>
      </c>
      <c r="G22" s="230">
        <v>8603</v>
      </c>
      <c r="H22" s="230">
        <v>17202</v>
      </c>
      <c r="I22" s="230">
        <v>604</v>
      </c>
      <c r="J22" s="230">
        <v>621</v>
      </c>
      <c r="K22" s="230">
        <v>1225</v>
      </c>
      <c r="L22" s="229">
        <v>9203</v>
      </c>
      <c r="M22" s="229">
        <v>9224</v>
      </c>
      <c r="N22" s="230">
        <v>18427</v>
      </c>
      <c r="O22" s="231">
        <v>85.673059020666543</v>
      </c>
      <c r="P22" s="231">
        <v>88.31865185752585</v>
      </c>
      <c r="Q22" s="231">
        <v>86.977249126781842</v>
      </c>
      <c r="R22" s="232">
        <v>9203</v>
      </c>
      <c r="S22" s="232">
        <v>9224</v>
      </c>
      <c r="T22" s="232">
        <v>18427</v>
      </c>
      <c r="U22" s="233">
        <v>1491</v>
      </c>
      <c r="V22" s="233">
        <v>2189</v>
      </c>
      <c r="W22" s="232">
        <v>3680</v>
      </c>
      <c r="X22" s="232">
        <v>2782</v>
      </c>
      <c r="Y22" s="232">
        <v>3438</v>
      </c>
      <c r="Z22" s="232">
        <v>6220</v>
      </c>
      <c r="AA22" s="177">
        <v>16.201238726502229</v>
      </c>
      <c r="AB22" s="177">
        <v>23.731569817866436</v>
      </c>
      <c r="AC22" s="177">
        <v>19.970695175557605</v>
      </c>
      <c r="AD22" s="226">
        <v>30.229273063131586</v>
      </c>
      <c r="AE22" s="226">
        <v>37.27233304423244</v>
      </c>
      <c r="AF22" s="226">
        <v>33.754816302165302</v>
      </c>
    </row>
    <row r="23" spans="1:32" ht="28.5" x14ac:dyDescent="0.25">
      <c r="A23" s="220">
        <v>14</v>
      </c>
      <c r="B23" s="221" t="s">
        <v>149</v>
      </c>
      <c r="C23" s="170">
        <v>508027</v>
      </c>
      <c r="D23" s="170">
        <v>345322</v>
      </c>
      <c r="E23" s="170">
        <v>853349</v>
      </c>
      <c r="F23" s="170">
        <v>283935</v>
      </c>
      <c r="G23" s="170">
        <v>222092</v>
      </c>
      <c r="H23" s="170">
        <v>506027</v>
      </c>
      <c r="I23" s="170">
        <v>1728</v>
      </c>
      <c r="J23" s="170">
        <v>1380</v>
      </c>
      <c r="K23" s="170">
        <v>3108</v>
      </c>
      <c r="L23" s="169">
        <v>285663</v>
      </c>
      <c r="M23" s="169">
        <v>223472</v>
      </c>
      <c r="N23" s="170">
        <v>509135</v>
      </c>
      <c r="O23" s="222">
        <v>56.229885419475735</v>
      </c>
      <c r="P23" s="222">
        <v>64.714092933551868</v>
      </c>
      <c r="Q23" s="222">
        <v>59.66316243412718</v>
      </c>
      <c r="R23" s="172">
        <v>285663</v>
      </c>
      <c r="S23" s="172">
        <v>223472</v>
      </c>
      <c r="T23" s="172">
        <v>509135</v>
      </c>
      <c r="U23" s="180">
        <v>25633</v>
      </c>
      <c r="V23" s="180">
        <v>21076</v>
      </c>
      <c r="W23" s="172">
        <v>46709</v>
      </c>
      <c r="X23" s="172">
        <v>78003</v>
      </c>
      <c r="Y23" s="172">
        <v>66880</v>
      </c>
      <c r="Z23" s="172">
        <v>144883</v>
      </c>
      <c r="AA23" s="177">
        <v>8.9731606823424794</v>
      </c>
      <c r="AB23" s="177">
        <v>9.4311591608792167</v>
      </c>
      <c r="AC23" s="177">
        <v>9.1741875926817045</v>
      </c>
      <c r="AD23" s="177">
        <v>27.30595141827958</v>
      </c>
      <c r="AE23" s="177">
        <v>29.927686690055133</v>
      </c>
      <c r="AF23" s="177">
        <v>28.456696161136044</v>
      </c>
    </row>
    <row r="24" spans="1:32" x14ac:dyDescent="0.25">
      <c r="A24" s="220">
        <v>15</v>
      </c>
      <c r="B24" s="221" t="s">
        <v>140</v>
      </c>
      <c r="C24" s="170">
        <v>217556</v>
      </c>
      <c r="D24" s="170">
        <v>172038</v>
      </c>
      <c r="E24" s="170">
        <v>389594</v>
      </c>
      <c r="F24" s="170">
        <v>85536</v>
      </c>
      <c r="G24" s="170">
        <v>77772</v>
      </c>
      <c r="H24" s="170">
        <v>163308</v>
      </c>
      <c r="I24" s="170">
        <v>21630</v>
      </c>
      <c r="J24" s="170">
        <v>15486</v>
      </c>
      <c r="K24" s="170">
        <v>37116</v>
      </c>
      <c r="L24" s="169">
        <v>107166</v>
      </c>
      <c r="M24" s="169">
        <v>93258</v>
      </c>
      <c r="N24" s="170">
        <v>200424</v>
      </c>
      <c r="O24" s="222">
        <v>49.25904135027303</v>
      </c>
      <c r="P24" s="222">
        <v>54.207791301921674</v>
      </c>
      <c r="Q24" s="222">
        <v>51.44432409123344</v>
      </c>
      <c r="R24" s="172">
        <v>107166</v>
      </c>
      <c r="S24" s="172">
        <v>93258</v>
      </c>
      <c r="T24" s="172">
        <v>200424</v>
      </c>
      <c r="U24" s="180">
        <v>1788</v>
      </c>
      <c r="V24" s="180">
        <v>3260</v>
      </c>
      <c r="W24" s="172">
        <v>5048</v>
      </c>
      <c r="X24" s="172">
        <v>29054</v>
      </c>
      <c r="Y24" s="172">
        <v>34496</v>
      </c>
      <c r="Z24" s="172">
        <v>63550</v>
      </c>
      <c r="AA24" s="177">
        <v>1.6684396170427187</v>
      </c>
      <c r="AB24" s="177">
        <v>3.4956786549143235</v>
      </c>
      <c r="AC24" s="177">
        <v>2.5186604398674808</v>
      </c>
      <c r="AD24" s="177">
        <v>27.111210645167308</v>
      </c>
      <c r="AE24" s="177">
        <v>36.98985609813635</v>
      </c>
      <c r="AF24" s="177">
        <v>31.707779507444219</v>
      </c>
    </row>
    <row r="25" spans="1:32" x14ac:dyDescent="0.25">
      <c r="A25" s="220">
        <v>16</v>
      </c>
      <c r="B25" s="221" t="s">
        <v>150</v>
      </c>
      <c r="C25" s="170">
        <v>71170</v>
      </c>
      <c r="D25" s="170">
        <v>62721</v>
      </c>
      <c r="E25" s="170">
        <v>133891</v>
      </c>
      <c r="F25" s="170">
        <v>45465</v>
      </c>
      <c r="G25" s="170">
        <v>42725</v>
      </c>
      <c r="H25" s="170">
        <v>88190</v>
      </c>
      <c r="I25" s="170">
        <v>6492</v>
      </c>
      <c r="J25" s="170">
        <v>5398</v>
      </c>
      <c r="K25" s="170">
        <v>11890</v>
      </c>
      <c r="L25" s="169">
        <v>51957</v>
      </c>
      <c r="M25" s="169">
        <v>48123</v>
      </c>
      <c r="N25" s="170">
        <v>100080</v>
      </c>
      <c r="O25" s="222">
        <v>73.004074750597155</v>
      </c>
      <c r="P25" s="222">
        <v>76.725498636820205</v>
      </c>
      <c r="Q25" s="222">
        <v>74.747369128619539</v>
      </c>
      <c r="R25" s="172">
        <v>51957</v>
      </c>
      <c r="S25" s="172">
        <v>48123</v>
      </c>
      <c r="T25" s="172">
        <v>100080</v>
      </c>
      <c r="U25" s="180">
        <v>7164</v>
      </c>
      <c r="V25" s="180">
        <v>9804</v>
      </c>
      <c r="W25" s="172">
        <v>16968</v>
      </c>
      <c r="X25" s="172">
        <v>17885</v>
      </c>
      <c r="Y25" s="172">
        <v>18430</v>
      </c>
      <c r="Z25" s="172">
        <v>36315</v>
      </c>
      <c r="AA25" s="177">
        <v>13.788324961025461</v>
      </c>
      <c r="AB25" s="177">
        <v>20.372794713546536</v>
      </c>
      <c r="AC25" s="177">
        <v>16.954436450839328</v>
      </c>
      <c r="AD25" s="177">
        <v>34.422695690667283</v>
      </c>
      <c r="AE25" s="177">
        <v>38.297695488643683</v>
      </c>
      <c r="AF25" s="177">
        <v>36.285971223021583</v>
      </c>
    </row>
    <row r="26" spans="1:32" x14ac:dyDescent="0.25">
      <c r="A26" s="220">
        <v>17</v>
      </c>
      <c r="B26" s="221" t="s">
        <v>151</v>
      </c>
      <c r="C26" s="170">
        <v>110502</v>
      </c>
      <c r="D26" s="170">
        <v>91212</v>
      </c>
      <c r="E26" s="170">
        <v>201714</v>
      </c>
      <c r="F26" s="170">
        <v>56137</v>
      </c>
      <c r="G26" s="170">
        <v>47460</v>
      </c>
      <c r="H26" s="170">
        <v>103597</v>
      </c>
      <c r="I26" s="170">
        <v>6456</v>
      </c>
      <c r="J26" s="170">
        <v>5832</v>
      </c>
      <c r="K26" s="170">
        <v>12288</v>
      </c>
      <c r="L26" s="169">
        <v>62593</v>
      </c>
      <c r="M26" s="169">
        <v>53292</v>
      </c>
      <c r="N26" s="170">
        <v>115885</v>
      </c>
      <c r="O26" s="222">
        <v>56.644223633961374</v>
      </c>
      <c r="P26" s="222">
        <v>58.426522825943948</v>
      </c>
      <c r="Q26" s="222">
        <v>57.450152195683003</v>
      </c>
      <c r="R26" s="172">
        <v>62593</v>
      </c>
      <c r="S26" s="172">
        <v>53292</v>
      </c>
      <c r="T26" s="172">
        <v>115885</v>
      </c>
      <c r="U26" s="223"/>
      <c r="V26" s="223"/>
      <c r="W26" s="223"/>
      <c r="X26" s="223"/>
      <c r="Y26" s="223"/>
      <c r="Z26" s="223"/>
      <c r="AA26" s="224"/>
      <c r="AB26" s="224"/>
      <c r="AC26" s="224"/>
      <c r="AD26" s="224"/>
      <c r="AE26" s="224"/>
      <c r="AF26" s="224"/>
    </row>
    <row r="27" spans="1:32" x14ac:dyDescent="0.25">
      <c r="A27" s="220">
        <v>18</v>
      </c>
      <c r="B27" s="221" t="s">
        <v>152</v>
      </c>
      <c r="C27" s="170">
        <v>229066</v>
      </c>
      <c r="D27" s="170">
        <v>226115</v>
      </c>
      <c r="E27" s="170">
        <v>455181</v>
      </c>
      <c r="F27" s="170">
        <v>169392</v>
      </c>
      <c r="G27" s="170">
        <v>154945</v>
      </c>
      <c r="H27" s="170">
        <v>324337</v>
      </c>
      <c r="I27" s="212"/>
      <c r="J27" s="212"/>
      <c r="K27" s="212"/>
      <c r="L27" s="169">
        <v>169392</v>
      </c>
      <c r="M27" s="169">
        <v>154945</v>
      </c>
      <c r="N27" s="170">
        <v>324337</v>
      </c>
      <c r="O27" s="222">
        <v>73.948992866684719</v>
      </c>
      <c r="P27" s="222">
        <v>68.524865665701086</v>
      </c>
      <c r="Q27" s="222">
        <v>71.254511941403536</v>
      </c>
      <c r="R27" s="172">
        <v>169392</v>
      </c>
      <c r="S27" s="172">
        <v>154945</v>
      </c>
      <c r="T27" s="172">
        <v>324337</v>
      </c>
      <c r="U27" s="32">
        <v>9787</v>
      </c>
      <c r="V27" s="32">
        <v>7406</v>
      </c>
      <c r="W27" s="172">
        <v>17193</v>
      </c>
      <c r="X27" s="32">
        <v>42142</v>
      </c>
      <c r="Y27" s="32">
        <v>35327</v>
      </c>
      <c r="Z27" s="172">
        <v>77469</v>
      </c>
      <c r="AA27" s="177">
        <v>5.777722678756966</v>
      </c>
      <c r="AB27" s="177">
        <v>4.7797605601987803</v>
      </c>
      <c r="AC27" s="177">
        <v>5.3009678205076822</v>
      </c>
      <c r="AD27" s="177">
        <v>24.878388589779917</v>
      </c>
      <c r="AE27" s="177">
        <v>22.799703120462098</v>
      </c>
      <c r="AF27" s="177">
        <v>23.885341481237109</v>
      </c>
    </row>
    <row r="28" spans="1:32" ht="28.5" x14ac:dyDescent="0.25">
      <c r="A28" s="220">
        <v>19</v>
      </c>
      <c r="B28" s="221" t="s">
        <v>269</v>
      </c>
      <c r="C28" s="170">
        <v>439695</v>
      </c>
      <c r="D28" s="170">
        <v>396905</v>
      </c>
      <c r="E28" s="170">
        <v>836600</v>
      </c>
      <c r="F28" s="170">
        <v>342882</v>
      </c>
      <c r="G28" s="170">
        <v>342673</v>
      </c>
      <c r="H28" s="170">
        <v>685555</v>
      </c>
      <c r="I28" s="170">
        <v>30630</v>
      </c>
      <c r="J28" s="170">
        <v>17930</v>
      </c>
      <c r="K28" s="170">
        <v>48560</v>
      </c>
      <c r="L28" s="169">
        <v>373512</v>
      </c>
      <c r="M28" s="169">
        <v>360603</v>
      </c>
      <c r="N28" s="170">
        <v>734115</v>
      </c>
      <c r="O28" s="222">
        <v>84.947975301060964</v>
      </c>
      <c r="P28" s="222">
        <v>90.853730741613234</v>
      </c>
      <c r="Q28" s="222">
        <v>87.749820702844843</v>
      </c>
      <c r="R28" s="172">
        <f t="shared" ref="R28:T28" si="4">L28</f>
        <v>373512</v>
      </c>
      <c r="S28" s="172">
        <f t="shared" si="4"/>
        <v>360603</v>
      </c>
      <c r="T28" s="172">
        <f t="shared" si="4"/>
        <v>734115</v>
      </c>
      <c r="U28" s="32">
        <v>66525</v>
      </c>
      <c r="V28" s="32">
        <v>94453</v>
      </c>
      <c r="W28" s="32">
        <f t="shared" ref="W28" si="5">U28+V28</f>
        <v>160978</v>
      </c>
      <c r="X28" s="32">
        <v>110076</v>
      </c>
      <c r="Y28" s="32">
        <v>123793</v>
      </c>
      <c r="Z28" s="172">
        <f t="shared" ref="Z28" si="6">X28+Y28</f>
        <v>233869</v>
      </c>
      <c r="AA28" s="181">
        <f t="shared" ref="AA28:AC28" si="7">U28/R28%</f>
        <v>17.810672749469898</v>
      </c>
      <c r="AB28" s="181">
        <f t="shared" si="7"/>
        <v>26.193071050434966</v>
      </c>
      <c r="AC28" s="181">
        <f t="shared" si="7"/>
        <v>21.928172016645895</v>
      </c>
      <c r="AD28" s="177">
        <f t="shared" ref="AD28:AF28" si="8">X28/R28%</f>
        <v>29.470539099145409</v>
      </c>
      <c r="AE28" s="177">
        <f t="shared" si="8"/>
        <v>34.329442628042472</v>
      </c>
      <c r="AF28" s="177">
        <f t="shared" si="8"/>
        <v>31.857270318683042</v>
      </c>
    </row>
    <row r="29" spans="1:32" x14ac:dyDescent="0.25">
      <c r="A29" s="220">
        <v>20</v>
      </c>
      <c r="B29" s="221" t="s">
        <v>270</v>
      </c>
      <c r="C29" s="227">
        <v>237189</v>
      </c>
      <c r="D29" s="170">
        <v>231054</v>
      </c>
      <c r="E29" s="170">
        <v>468243</v>
      </c>
      <c r="F29" s="170">
        <v>233003</v>
      </c>
      <c r="G29" s="170">
        <v>228822</v>
      </c>
      <c r="H29" s="170">
        <v>461825</v>
      </c>
      <c r="I29" s="212"/>
      <c r="J29" s="212"/>
      <c r="K29" s="212"/>
      <c r="L29" s="169">
        <v>233003</v>
      </c>
      <c r="M29" s="169">
        <v>228822</v>
      </c>
      <c r="N29" s="170">
        <v>461825</v>
      </c>
      <c r="O29" s="222">
        <v>98.235162676178064</v>
      </c>
      <c r="P29" s="222">
        <v>99.033992053805605</v>
      </c>
      <c r="Q29" s="222">
        <v>98.629344165315871</v>
      </c>
      <c r="R29" s="172">
        <v>233003</v>
      </c>
      <c r="S29" s="172">
        <v>228822</v>
      </c>
      <c r="T29" s="172">
        <v>461825</v>
      </c>
      <c r="U29" s="223"/>
      <c r="V29" s="223"/>
      <c r="W29" s="223"/>
      <c r="X29" s="32">
        <v>42716</v>
      </c>
      <c r="Y29" s="32">
        <v>67489</v>
      </c>
      <c r="Z29" s="172">
        <v>110205</v>
      </c>
      <c r="AA29" s="224"/>
      <c r="AB29" s="224"/>
      <c r="AC29" s="224"/>
      <c r="AD29" s="177">
        <v>18.332811165521473</v>
      </c>
      <c r="AE29" s="177">
        <v>29.494104587845577</v>
      </c>
      <c r="AF29" s="177">
        <v>23.862935094462188</v>
      </c>
    </row>
    <row r="30" spans="1:32" ht="28.5" x14ac:dyDescent="0.25">
      <c r="A30" s="220">
        <v>21</v>
      </c>
      <c r="B30" s="221" t="s">
        <v>271</v>
      </c>
      <c r="C30" s="170">
        <v>954495</v>
      </c>
      <c r="D30" s="170">
        <v>770323</v>
      </c>
      <c r="E30" s="170">
        <v>1724818</v>
      </c>
      <c r="F30" s="170">
        <v>815774</v>
      </c>
      <c r="G30" s="170">
        <v>697408</v>
      </c>
      <c r="H30" s="170">
        <v>1513182</v>
      </c>
      <c r="I30" s="170">
        <v>23382</v>
      </c>
      <c r="J30" s="170">
        <v>11959</v>
      </c>
      <c r="K30" s="170">
        <v>35341</v>
      </c>
      <c r="L30" s="169">
        <v>839156</v>
      </c>
      <c r="M30" s="169">
        <v>709367</v>
      </c>
      <c r="N30" s="170">
        <v>1548523</v>
      </c>
      <c r="O30" s="222">
        <v>87.916227953001325</v>
      </c>
      <c r="P30" s="222">
        <v>92.08695573155677</v>
      </c>
      <c r="Q30" s="222">
        <v>89.778921602163237</v>
      </c>
      <c r="R30" s="172">
        <f>L30</f>
        <v>839156</v>
      </c>
      <c r="S30" s="172">
        <f t="shared" ref="S30:T30" si="9">M30</f>
        <v>709367</v>
      </c>
      <c r="T30" s="172">
        <f t="shared" si="9"/>
        <v>1548523</v>
      </c>
      <c r="U30" s="180">
        <v>173357</v>
      </c>
      <c r="V30" s="180">
        <v>201070</v>
      </c>
      <c r="W30" s="172">
        <v>374427</v>
      </c>
      <c r="X30" s="172">
        <v>278602</v>
      </c>
      <c r="Y30" s="172">
        <v>262637</v>
      </c>
      <c r="Z30" s="172">
        <v>541239</v>
      </c>
      <c r="AA30" s="177">
        <v>20.658667292697722</v>
      </c>
      <c r="AB30" s="177">
        <v>28.345029223278253</v>
      </c>
      <c r="AC30" s="177">
        <v>24.179746402198237</v>
      </c>
      <c r="AD30" s="177">
        <v>33.200540070952833</v>
      </c>
      <c r="AE30" s="177">
        <v>37.024187795862787</v>
      </c>
      <c r="AF30" s="177">
        <v>34.952131558299406</v>
      </c>
    </row>
    <row r="31" spans="1:32" ht="28.5" x14ac:dyDescent="0.25">
      <c r="A31" s="220">
        <v>22</v>
      </c>
      <c r="B31" s="221" t="s">
        <v>272</v>
      </c>
      <c r="C31" s="170">
        <v>619327</v>
      </c>
      <c r="D31" s="170">
        <v>495259</v>
      </c>
      <c r="E31" s="170">
        <v>1114586</v>
      </c>
      <c r="F31" s="170">
        <v>245166</v>
      </c>
      <c r="G31" s="170">
        <v>207822</v>
      </c>
      <c r="H31" s="170">
        <v>452988</v>
      </c>
      <c r="I31" s="170">
        <v>64196</v>
      </c>
      <c r="J31" s="170">
        <v>57881</v>
      </c>
      <c r="K31" s="170">
        <v>122077</v>
      </c>
      <c r="L31" s="169">
        <v>309362</v>
      </c>
      <c r="M31" s="169">
        <v>265703</v>
      </c>
      <c r="N31" s="170">
        <v>575065</v>
      </c>
      <c r="O31" s="222">
        <v>49.951318124351111</v>
      </c>
      <c r="P31" s="222">
        <v>53.649302688088454</v>
      </c>
      <c r="Q31" s="222">
        <v>51.594493381399012</v>
      </c>
      <c r="R31" s="172">
        <v>309362</v>
      </c>
      <c r="S31" s="172">
        <v>265703</v>
      </c>
      <c r="T31" s="172">
        <v>575065</v>
      </c>
      <c r="U31" s="180">
        <v>27565</v>
      </c>
      <c r="V31" s="180">
        <v>26912</v>
      </c>
      <c r="W31" s="172">
        <v>54477</v>
      </c>
      <c r="X31" s="172">
        <v>68841</v>
      </c>
      <c r="Y31" s="172">
        <v>60975</v>
      </c>
      <c r="Z31" s="172">
        <v>129816</v>
      </c>
      <c r="AA31" s="177">
        <v>8.9102734013873715</v>
      </c>
      <c r="AB31" s="177">
        <v>10.128602236331542</v>
      </c>
      <c r="AC31" s="177">
        <v>9.4731899872188361</v>
      </c>
      <c r="AD31" s="177">
        <v>22.252571421182953</v>
      </c>
      <c r="AE31" s="177">
        <v>22.948555341866669</v>
      </c>
      <c r="AF31" s="177">
        <v>22.574143792440857</v>
      </c>
    </row>
    <row r="32" spans="1:32" x14ac:dyDescent="0.25">
      <c r="A32" s="220">
        <v>23</v>
      </c>
      <c r="B32" s="221" t="s">
        <v>141</v>
      </c>
      <c r="C32" s="170">
        <v>17213</v>
      </c>
      <c r="D32" s="170">
        <v>17451</v>
      </c>
      <c r="E32" s="170">
        <v>34664</v>
      </c>
      <c r="F32" s="170">
        <v>11184</v>
      </c>
      <c r="G32" s="170">
        <v>10100</v>
      </c>
      <c r="H32" s="170">
        <v>21284</v>
      </c>
      <c r="I32" s="170">
        <v>2195</v>
      </c>
      <c r="J32" s="170">
        <v>2665</v>
      </c>
      <c r="K32" s="170">
        <v>4860</v>
      </c>
      <c r="L32" s="169">
        <v>13379</v>
      </c>
      <c r="M32" s="169">
        <v>12765</v>
      </c>
      <c r="N32" s="170">
        <v>26144</v>
      </c>
      <c r="O32" s="222">
        <v>77.726137221867191</v>
      </c>
      <c r="P32" s="222">
        <v>73.147670620594809</v>
      </c>
      <c r="Q32" s="222">
        <v>75.421186245095768</v>
      </c>
      <c r="R32" s="172">
        <f t="shared" ref="R32:T32" si="10">L32</f>
        <v>13379</v>
      </c>
      <c r="S32" s="172">
        <f t="shared" si="10"/>
        <v>12765</v>
      </c>
      <c r="T32" s="172">
        <f t="shared" si="10"/>
        <v>26144</v>
      </c>
      <c r="U32" s="32">
        <v>553</v>
      </c>
      <c r="V32" s="32">
        <v>425</v>
      </c>
      <c r="W32" s="32">
        <v>978</v>
      </c>
      <c r="X32" s="32">
        <v>3016</v>
      </c>
      <c r="Y32" s="32">
        <v>2689</v>
      </c>
      <c r="Z32" s="32">
        <f t="shared" ref="Z32" si="11">X32+Y32</f>
        <v>5705</v>
      </c>
      <c r="AA32" s="181">
        <f t="shared" ref="AA32:AC32" si="12">U32/R32%</f>
        <v>4.1333432992002397</v>
      </c>
      <c r="AB32" s="181">
        <f t="shared" si="12"/>
        <v>3.3294163728946335</v>
      </c>
      <c r="AC32" s="181">
        <f t="shared" si="12"/>
        <v>3.7408200734394126</v>
      </c>
      <c r="AD32" s="181">
        <f t="shared" ref="AD32:AF32" si="13">X32/R32%</f>
        <v>22.542790941026983</v>
      </c>
      <c r="AE32" s="181">
        <f t="shared" si="13"/>
        <v>21.065413239326283</v>
      </c>
      <c r="AF32" s="181">
        <f t="shared" si="13"/>
        <v>21.821450428396574</v>
      </c>
    </row>
    <row r="33" spans="1:32" x14ac:dyDescent="0.25">
      <c r="A33" s="220">
        <v>24</v>
      </c>
      <c r="B33" s="221" t="s">
        <v>158</v>
      </c>
      <c r="C33" s="170">
        <v>21412</v>
      </c>
      <c r="D33" s="170">
        <v>24459</v>
      </c>
      <c r="E33" s="170">
        <v>45871</v>
      </c>
      <c r="F33" s="170">
        <v>11468</v>
      </c>
      <c r="G33" s="170">
        <v>12905</v>
      </c>
      <c r="H33" s="170">
        <v>24373</v>
      </c>
      <c r="I33" s="212"/>
      <c r="J33" s="212"/>
      <c r="K33" s="212"/>
      <c r="L33" s="169">
        <v>11468</v>
      </c>
      <c r="M33" s="169">
        <v>12905</v>
      </c>
      <c r="N33" s="170">
        <v>24373</v>
      </c>
      <c r="O33" s="222">
        <v>53.558752101625259</v>
      </c>
      <c r="P33" s="222">
        <v>52.761764585633095</v>
      </c>
      <c r="Q33" s="222">
        <v>53.133788232216425</v>
      </c>
      <c r="R33" s="172">
        <v>11468</v>
      </c>
      <c r="S33" s="172">
        <v>12905</v>
      </c>
      <c r="T33" s="172">
        <v>24373</v>
      </c>
      <c r="U33" s="180">
        <v>635</v>
      </c>
      <c r="V33" s="180">
        <v>756</v>
      </c>
      <c r="W33" s="172">
        <v>1391</v>
      </c>
      <c r="X33" s="172">
        <v>1933</v>
      </c>
      <c r="Y33" s="172">
        <v>2205</v>
      </c>
      <c r="Z33" s="172">
        <v>4138</v>
      </c>
      <c r="AA33" s="177">
        <v>5.5371468433903033</v>
      </c>
      <c r="AB33" s="177">
        <v>5.8581944982564895</v>
      </c>
      <c r="AC33" s="177">
        <v>5.7071349444056949</v>
      </c>
      <c r="AD33" s="177">
        <v>16.85559818625741</v>
      </c>
      <c r="AE33" s="177">
        <v>17.086400619914759</v>
      </c>
      <c r="AF33" s="177">
        <v>16.977803306938007</v>
      </c>
    </row>
    <row r="34" spans="1:32" x14ac:dyDescent="0.25">
      <c r="A34" s="220">
        <v>25</v>
      </c>
      <c r="B34" s="221" t="s">
        <v>159</v>
      </c>
      <c r="C34" s="170">
        <v>8287</v>
      </c>
      <c r="D34" s="170">
        <v>8870</v>
      </c>
      <c r="E34" s="170">
        <v>17157</v>
      </c>
      <c r="F34" s="170">
        <v>5672</v>
      </c>
      <c r="G34" s="170">
        <v>6047</v>
      </c>
      <c r="H34" s="170">
        <v>11719</v>
      </c>
      <c r="I34" s="170">
        <v>57</v>
      </c>
      <c r="J34" s="170">
        <v>48</v>
      </c>
      <c r="K34" s="170">
        <v>105</v>
      </c>
      <c r="L34" s="169">
        <v>5729</v>
      </c>
      <c r="M34" s="169">
        <v>6095</v>
      </c>
      <c r="N34" s="170">
        <v>11824</v>
      </c>
      <c r="O34" s="222">
        <v>69.132376010619041</v>
      </c>
      <c r="P34" s="222">
        <v>68.714768883878236</v>
      </c>
      <c r="Q34" s="222">
        <v>68.916477239610657</v>
      </c>
      <c r="R34" s="168">
        <f t="shared" ref="R34:T34" si="14">L34</f>
        <v>5729</v>
      </c>
      <c r="S34" s="168">
        <f t="shared" si="14"/>
        <v>6095</v>
      </c>
      <c r="T34" s="168">
        <f t="shared" si="14"/>
        <v>11824</v>
      </c>
      <c r="U34" s="223"/>
      <c r="V34" s="223"/>
      <c r="W34" s="223"/>
      <c r="X34" s="223"/>
      <c r="Y34" s="223"/>
      <c r="Z34" s="223"/>
      <c r="AA34" s="224"/>
      <c r="AB34" s="224"/>
      <c r="AC34" s="224"/>
      <c r="AD34" s="224"/>
      <c r="AE34" s="224"/>
      <c r="AF34" s="224"/>
    </row>
    <row r="35" spans="1:32" x14ac:dyDescent="0.25">
      <c r="A35" s="220">
        <v>26</v>
      </c>
      <c r="B35" s="221" t="s">
        <v>160</v>
      </c>
      <c r="C35" s="170">
        <v>11541</v>
      </c>
      <c r="D35" s="170">
        <v>12098</v>
      </c>
      <c r="E35" s="170">
        <v>23639</v>
      </c>
      <c r="F35" s="170">
        <v>7389</v>
      </c>
      <c r="G35" s="170">
        <v>7516</v>
      </c>
      <c r="H35" s="170">
        <v>14905</v>
      </c>
      <c r="I35" s="170">
        <v>705</v>
      </c>
      <c r="J35" s="170">
        <v>738</v>
      </c>
      <c r="K35" s="170">
        <v>1443</v>
      </c>
      <c r="L35" s="169">
        <v>8094</v>
      </c>
      <c r="M35" s="169">
        <v>8254</v>
      </c>
      <c r="N35" s="170">
        <v>16348</v>
      </c>
      <c r="O35" s="222">
        <v>70.132570834416427</v>
      </c>
      <c r="P35" s="222">
        <v>68.226153083154244</v>
      </c>
      <c r="Q35" s="222">
        <v>69.156901730191635</v>
      </c>
      <c r="R35" s="172">
        <v>8094</v>
      </c>
      <c r="S35" s="172">
        <v>8254</v>
      </c>
      <c r="T35" s="172">
        <v>16348</v>
      </c>
      <c r="U35" s="180">
        <v>590</v>
      </c>
      <c r="V35" s="180">
        <v>724</v>
      </c>
      <c r="W35" s="172">
        <v>1314</v>
      </c>
      <c r="X35" s="172">
        <v>1533</v>
      </c>
      <c r="Y35" s="172">
        <v>1613</v>
      </c>
      <c r="Z35" s="172">
        <v>3146</v>
      </c>
      <c r="AA35" s="177">
        <v>7.2893501359031383</v>
      </c>
      <c r="AB35" s="177">
        <v>8.7715047249818259</v>
      </c>
      <c r="AC35" s="177">
        <v>8.0376804502079775</v>
      </c>
      <c r="AD35" s="177">
        <v>18.939955522609342</v>
      </c>
      <c r="AE35" s="177">
        <v>19.542040222922218</v>
      </c>
      <c r="AF35" s="177">
        <v>19.243944213359434</v>
      </c>
    </row>
    <row r="36" spans="1:32" x14ac:dyDescent="0.25">
      <c r="A36" s="220">
        <v>27</v>
      </c>
      <c r="B36" s="221" t="s">
        <v>273</v>
      </c>
      <c r="C36" s="170">
        <v>288590</v>
      </c>
      <c r="D36" s="170">
        <v>287901</v>
      </c>
      <c r="E36" s="170">
        <v>576491</v>
      </c>
      <c r="F36" s="170">
        <v>231746</v>
      </c>
      <c r="G36" s="170">
        <v>232627</v>
      </c>
      <c r="H36" s="170">
        <v>464373</v>
      </c>
      <c r="I36" s="212"/>
      <c r="J36" s="212"/>
      <c r="K36" s="212"/>
      <c r="L36" s="169">
        <v>231746</v>
      </c>
      <c r="M36" s="169">
        <v>232627</v>
      </c>
      <c r="N36" s="170">
        <v>464373</v>
      </c>
      <c r="O36" s="222">
        <v>80.302851796666559</v>
      </c>
      <c r="P36" s="222">
        <v>80.801039246129747</v>
      </c>
      <c r="Q36" s="222">
        <v>80.551647814102907</v>
      </c>
      <c r="R36" s="172">
        <v>231746</v>
      </c>
      <c r="S36" s="172">
        <v>232627</v>
      </c>
      <c r="T36" s="172">
        <v>464373</v>
      </c>
      <c r="U36" s="223"/>
      <c r="V36" s="223"/>
      <c r="W36" s="223"/>
      <c r="X36" s="223"/>
      <c r="Y36" s="223"/>
      <c r="Z36" s="223"/>
      <c r="AA36" s="224"/>
      <c r="AB36" s="224"/>
      <c r="AC36" s="224"/>
      <c r="AD36" s="224"/>
      <c r="AE36" s="224"/>
      <c r="AF36" s="224"/>
    </row>
    <row r="37" spans="1:32" x14ac:dyDescent="0.25">
      <c r="A37" s="220">
        <v>28</v>
      </c>
      <c r="B37" s="221" t="s">
        <v>162</v>
      </c>
      <c r="C37" s="170">
        <v>198963</v>
      </c>
      <c r="D37" s="170">
        <v>159192</v>
      </c>
      <c r="E37" s="170">
        <v>358155</v>
      </c>
      <c r="F37" s="170">
        <v>125037</v>
      </c>
      <c r="G37" s="170">
        <v>117438</v>
      </c>
      <c r="H37" s="170">
        <v>242475</v>
      </c>
      <c r="I37" s="212"/>
      <c r="J37" s="212"/>
      <c r="K37" s="212"/>
      <c r="L37" s="169">
        <v>125037</v>
      </c>
      <c r="M37" s="169">
        <v>117438</v>
      </c>
      <c r="N37" s="170">
        <v>242475</v>
      </c>
      <c r="O37" s="222">
        <v>62.844347944090103</v>
      </c>
      <c r="P37" s="222">
        <v>73.771295039951752</v>
      </c>
      <c r="Q37" s="222">
        <v>67.701134983456882</v>
      </c>
      <c r="R37" s="172">
        <v>125037</v>
      </c>
      <c r="S37" s="172">
        <v>117438</v>
      </c>
      <c r="T37" s="172">
        <v>242475</v>
      </c>
      <c r="U37" s="180">
        <v>21238</v>
      </c>
      <c r="V37" s="180">
        <v>37407</v>
      </c>
      <c r="W37" s="172">
        <v>58645</v>
      </c>
      <c r="X37" s="172">
        <v>59046</v>
      </c>
      <c r="Y37" s="172">
        <v>54343</v>
      </c>
      <c r="Z37" s="172">
        <v>113389</v>
      </c>
      <c r="AA37" s="177">
        <v>16.985372329790383</v>
      </c>
      <c r="AB37" s="177">
        <v>31.852551984877124</v>
      </c>
      <c r="AC37" s="177">
        <v>24.185998556552221</v>
      </c>
      <c r="AD37" s="177">
        <v>47.222822044674778</v>
      </c>
      <c r="AE37" s="177">
        <v>46.273778504402316</v>
      </c>
      <c r="AF37" s="177">
        <v>46.763171460975357</v>
      </c>
    </row>
    <row r="38" spans="1:32" ht="28.5" x14ac:dyDescent="0.25">
      <c r="A38" s="220">
        <v>29</v>
      </c>
      <c r="B38" s="221" t="s">
        <v>212</v>
      </c>
      <c r="C38" s="170">
        <v>651966</v>
      </c>
      <c r="D38" s="170">
        <v>454472</v>
      </c>
      <c r="E38" s="170">
        <v>1106438</v>
      </c>
      <c r="F38" s="170">
        <v>487676</v>
      </c>
      <c r="G38" s="170">
        <v>349035</v>
      </c>
      <c r="H38" s="170">
        <v>836711</v>
      </c>
      <c r="I38" s="170">
        <v>7941</v>
      </c>
      <c r="J38" s="170">
        <v>6584</v>
      </c>
      <c r="K38" s="170">
        <v>14525</v>
      </c>
      <c r="L38" s="169">
        <v>495617</v>
      </c>
      <c r="M38" s="169">
        <v>355619</v>
      </c>
      <c r="N38" s="170">
        <v>851236</v>
      </c>
      <c r="O38" s="222">
        <v>76.018841473328365</v>
      </c>
      <c r="P38" s="222">
        <v>78.248825010121635</v>
      </c>
      <c r="Q38" s="222">
        <v>76.934812434135495</v>
      </c>
      <c r="R38" s="172">
        <v>495617</v>
      </c>
      <c r="S38" s="172">
        <v>355619</v>
      </c>
      <c r="T38" s="172">
        <v>851236</v>
      </c>
      <c r="U38" s="180">
        <v>33816</v>
      </c>
      <c r="V38" s="180">
        <v>23493</v>
      </c>
      <c r="W38" s="172">
        <v>57309</v>
      </c>
      <c r="X38" s="172">
        <v>99801</v>
      </c>
      <c r="Y38" s="172">
        <v>72038</v>
      </c>
      <c r="Z38" s="172">
        <v>171839</v>
      </c>
      <c r="AA38" s="177">
        <v>6.823010510131815</v>
      </c>
      <c r="AB38" s="177">
        <v>6.6062274512891603</v>
      </c>
      <c r="AC38" s="177">
        <v>6.7324455262700349</v>
      </c>
      <c r="AD38" s="177">
        <v>20.136718474144349</v>
      </c>
      <c r="AE38" s="177">
        <v>20.257072878558233</v>
      </c>
      <c r="AF38" s="177">
        <v>20.186998670169025</v>
      </c>
    </row>
    <row r="39" spans="1:32" ht="28.5" x14ac:dyDescent="0.25">
      <c r="A39" s="220">
        <v>30</v>
      </c>
      <c r="B39" s="221" t="s">
        <v>274</v>
      </c>
      <c r="C39" s="170">
        <v>533103</v>
      </c>
      <c r="D39" s="170">
        <v>527833</v>
      </c>
      <c r="E39" s="170">
        <v>1060936</v>
      </c>
      <c r="F39" s="170">
        <v>482371</v>
      </c>
      <c r="G39" s="170">
        <v>503579</v>
      </c>
      <c r="H39" s="170">
        <v>985950</v>
      </c>
      <c r="I39" s="212"/>
      <c r="J39" s="212"/>
      <c r="K39" s="212"/>
      <c r="L39" s="169">
        <v>482371</v>
      </c>
      <c r="M39" s="169">
        <v>503579</v>
      </c>
      <c r="N39" s="170">
        <v>985950</v>
      </c>
      <c r="O39" s="222">
        <v>90.48364012207773</v>
      </c>
      <c r="P39" s="222">
        <v>95.40498604672311</v>
      </c>
      <c r="Q39" s="222">
        <v>92.932090154354256</v>
      </c>
      <c r="R39" s="172">
        <v>482371</v>
      </c>
      <c r="S39" s="172">
        <v>503579</v>
      </c>
      <c r="T39" s="172">
        <v>985950</v>
      </c>
      <c r="U39" s="180">
        <v>222302</v>
      </c>
      <c r="V39" s="180">
        <v>296798</v>
      </c>
      <c r="W39" s="172">
        <v>519100</v>
      </c>
      <c r="X39" s="172">
        <v>145673</v>
      </c>
      <c r="Y39" s="172">
        <v>131701</v>
      </c>
      <c r="Z39" s="172">
        <v>277374</v>
      </c>
      <c r="AA39" s="177">
        <v>46.085274612279761</v>
      </c>
      <c r="AB39" s="177">
        <v>58.937723773231212</v>
      </c>
      <c r="AC39" s="177">
        <v>52.649728688067349</v>
      </c>
      <c r="AD39" s="177">
        <v>30.199369365073771</v>
      </c>
      <c r="AE39" s="177">
        <v>26.152996848558022</v>
      </c>
      <c r="AF39" s="177">
        <v>28.132663928191086</v>
      </c>
    </row>
    <row r="40" spans="1:32" x14ac:dyDescent="0.25">
      <c r="A40" s="220">
        <v>31</v>
      </c>
      <c r="B40" s="221" t="s">
        <v>165</v>
      </c>
      <c r="C40" s="170">
        <v>19046</v>
      </c>
      <c r="D40" s="170">
        <v>17755</v>
      </c>
      <c r="E40" s="170">
        <v>36801</v>
      </c>
      <c r="F40" s="170">
        <v>12676</v>
      </c>
      <c r="G40" s="170">
        <v>11284</v>
      </c>
      <c r="H40" s="170">
        <v>23960</v>
      </c>
      <c r="I40" s="212"/>
      <c r="J40" s="212"/>
      <c r="K40" s="212"/>
      <c r="L40" s="169">
        <v>12676</v>
      </c>
      <c r="M40" s="169">
        <v>11284</v>
      </c>
      <c r="N40" s="170">
        <v>23960</v>
      </c>
      <c r="O40" s="222">
        <v>66.554657145857405</v>
      </c>
      <c r="P40" s="222">
        <v>63.553928470853279</v>
      </c>
      <c r="Q40" s="222">
        <v>65.106926442216235</v>
      </c>
      <c r="R40" s="172">
        <v>12676</v>
      </c>
      <c r="S40" s="172">
        <v>11284</v>
      </c>
      <c r="T40" s="172">
        <v>23960</v>
      </c>
      <c r="U40" s="32">
        <v>565</v>
      </c>
      <c r="V40" s="32">
        <v>386</v>
      </c>
      <c r="W40" s="32">
        <v>951</v>
      </c>
      <c r="X40" s="32">
        <v>1166</v>
      </c>
      <c r="Y40" s="32">
        <v>1048</v>
      </c>
      <c r="Z40" s="32">
        <v>2214</v>
      </c>
      <c r="AA40" s="181">
        <v>4.4572420321868096</v>
      </c>
      <c r="AB40" s="181">
        <v>3.4207727756114852</v>
      </c>
      <c r="AC40" s="181">
        <v>3.9691151919866443</v>
      </c>
      <c r="AD40" s="181">
        <v>9.1984853266014515</v>
      </c>
      <c r="AE40" s="181">
        <v>9.2874867068415448</v>
      </c>
      <c r="AF40" s="181">
        <v>9.2404006677796335</v>
      </c>
    </row>
    <row r="41" spans="1:32" ht="28.5" x14ac:dyDescent="0.25">
      <c r="A41" s="220">
        <v>32</v>
      </c>
      <c r="B41" s="221" t="s">
        <v>275</v>
      </c>
      <c r="C41" s="170">
        <v>1694859</v>
      </c>
      <c r="D41" s="170">
        <v>1450246</v>
      </c>
      <c r="E41" s="170">
        <v>3145105</v>
      </c>
      <c r="F41" s="170">
        <v>1298121</v>
      </c>
      <c r="G41" s="170">
        <v>1253225</v>
      </c>
      <c r="H41" s="170">
        <v>2551346</v>
      </c>
      <c r="I41" s="212"/>
      <c r="J41" s="212"/>
      <c r="K41" s="212"/>
      <c r="L41" s="169">
        <v>1298121</v>
      </c>
      <c r="M41" s="169">
        <v>1253225</v>
      </c>
      <c r="N41" s="170">
        <v>2551346</v>
      </c>
      <c r="O41" s="222">
        <v>76.591681077894975</v>
      </c>
      <c r="P41" s="222">
        <v>86.414649652541712</v>
      </c>
      <c r="Q41" s="222">
        <v>81.121170835313933</v>
      </c>
      <c r="R41" s="172">
        <v>1298121</v>
      </c>
      <c r="S41" s="172">
        <v>1253225</v>
      </c>
      <c r="T41" s="172">
        <v>2551346</v>
      </c>
      <c r="U41" s="180">
        <v>242122</v>
      </c>
      <c r="V41" s="180">
        <v>287357</v>
      </c>
      <c r="W41" s="172">
        <v>529479</v>
      </c>
      <c r="X41" s="172">
        <v>692372</v>
      </c>
      <c r="Y41" s="172">
        <v>706726</v>
      </c>
      <c r="Z41" s="172">
        <v>1399098</v>
      </c>
      <c r="AA41" s="177">
        <v>18.651728151690023</v>
      </c>
      <c r="AB41" s="177">
        <v>22.929402142472423</v>
      </c>
      <c r="AC41" s="177">
        <v>20.752928062285555</v>
      </c>
      <c r="AD41" s="177">
        <v>53.33647633772199</v>
      </c>
      <c r="AE41" s="177">
        <v>56.392587125216942</v>
      </c>
      <c r="AF41" s="177">
        <v>54.837642562004525</v>
      </c>
    </row>
    <row r="42" spans="1:32" x14ac:dyDescent="0.25">
      <c r="A42" s="220">
        <v>33</v>
      </c>
      <c r="B42" s="221" t="s">
        <v>276</v>
      </c>
      <c r="C42" s="170">
        <v>86336</v>
      </c>
      <c r="D42" s="170">
        <v>83145</v>
      </c>
      <c r="E42" s="170">
        <v>169481</v>
      </c>
      <c r="F42" s="170">
        <v>56196</v>
      </c>
      <c r="G42" s="170">
        <v>63601</v>
      </c>
      <c r="H42" s="170">
        <v>119797</v>
      </c>
      <c r="I42" s="212"/>
      <c r="J42" s="212"/>
      <c r="K42" s="212"/>
      <c r="L42" s="169">
        <v>56196</v>
      </c>
      <c r="M42" s="169">
        <v>63601</v>
      </c>
      <c r="N42" s="170">
        <v>119797</v>
      </c>
      <c r="O42" s="222">
        <v>65.089881393624907</v>
      </c>
      <c r="P42" s="222">
        <v>76.494076613145708</v>
      </c>
      <c r="Q42" s="222">
        <v>70.684619514871869</v>
      </c>
      <c r="R42" s="172">
        <v>56196</v>
      </c>
      <c r="S42" s="172">
        <v>63601</v>
      </c>
      <c r="T42" s="172">
        <v>119797</v>
      </c>
      <c r="U42" s="180">
        <v>2910</v>
      </c>
      <c r="V42" s="180">
        <v>2547</v>
      </c>
      <c r="W42" s="172">
        <v>5457</v>
      </c>
      <c r="X42" s="172">
        <v>10872</v>
      </c>
      <c r="Y42" s="172">
        <v>15239</v>
      </c>
      <c r="Z42" s="172">
        <v>26111</v>
      </c>
      <c r="AA42" s="177">
        <v>5.1783045056587653</v>
      </c>
      <c r="AB42" s="177">
        <v>4.0046540148739798</v>
      </c>
      <c r="AC42" s="177">
        <v>4.5552058899638554</v>
      </c>
      <c r="AD42" s="177">
        <v>19.346572709801407</v>
      </c>
      <c r="AE42" s="177">
        <v>23.960315089385386</v>
      </c>
      <c r="AF42" s="177">
        <v>21.796038298120987</v>
      </c>
    </row>
    <row r="43" spans="1:32" ht="28.5" x14ac:dyDescent="0.25">
      <c r="A43" s="220">
        <v>34</v>
      </c>
      <c r="B43" s="221" t="s">
        <v>172</v>
      </c>
      <c r="C43" s="170">
        <v>475831</v>
      </c>
      <c r="D43" s="170">
        <v>551859</v>
      </c>
      <c r="E43" s="170">
        <v>1027690</v>
      </c>
      <c r="F43" s="170">
        <v>404855</v>
      </c>
      <c r="G43" s="170">
        <v>423943</v>
      </c>
      <c r="H43" s="170">
        <v>828798</v>
      </c>
      <c r="I43" s="212"/>
      <c r="J43" s="212"/>
      <c r="K43" s="212"/>
      <c r="L43" s="169">
        <v>404855</v>
      </c>
      <c r="M43" s="169">
        <v>423943</v>
      </c>
      <c r="N43" s="170">
        <v>828798</v>
      </c>
      <c r="O43" s="222">
        <v>85.08377974532975</v>
      </c>
      <c r="P43" s="222">
        <v>76.820890843494439</v>
      </c>
      <c r="Q43" s="222">
        <v>80.646693068921564</v>
      </c>
      <c r="R43" s="172">
        <v>404855</v>
      </c>
      <c r="S43" s="172">
        <v>423943</v>
      </c>
      <c r="T43" s="172">
        <v>828798</v>
      </c>
      <c r="U43" s="180">
        <v>29795</v>
      </c>
      <c r="V43" s="180">
        <v>21978</v>
      </c>
      <c r="W43" s="172">
        <v>51773</v>
      </c>
      <c r="X43" s="172">
        <v>38562</v>
      </c>
      <c r="Y43" s="172">
        <v>34495</v>
      </c>
      <c r="Z43" s="172">
        <v>73057</v>
      </c>
      <c r="AA43" s="177">
        <v>7.3594249793135811</v>
      </c>
      <c r="AB43" s="177">
        <v>5.1841874969040642</v>
      </c>
      <c r="AC43" s="177">
        <v>6.2467573522136881</v>
      </c>
      <c r="AD43" s="177">
        <v>9.5248916278667668</v>
      </c>
      <c r="AE43" s="177">
        <v>8.1367070573166664</v>
      </c>
      <c r="AF43" s="177">
        <v>8.8148137423111539</v>
      </c>
    </row>
    <row r="44" spans="1:32" ht="28.5" x14ac:dyDescent="0.25">
      <c r="A44" s="234">
        <v>35</v>
      </c>
      <c r="B44" s="235" t="s">
        <v>277</v>
      </c>
      <c r="C44" s="189">
        <v>13667</v>
      </c>
      <c r="D44" s="189">
        <v>28566</v>
      </c>
      <c r="E44" s="189">
        <v>42233</v>
      </c>
      <c r="F44" s="189">
        <v>11546</v>
      </c>
      <c r="G44" s="189">
        <v>21306</v>
      </c>
      <c r="H44" s="189">
        <v>32852</v>
      </c>
      <c r="I44" s="237"/>
      <c r="J44" s="237"/>
      <c r="K44" s="237"/>
      <c r="L44" s="188">
        <v>11546</v>
      </c>
      <c r="M44" s="188">
        <v>21306</v>
      </c>
      <c r="N44" s="189">
        <v>32852</v>
      </c>
      <c r="O44" s="236">
        <v>84.480866320333647</v>
      </c>
      <c r="P44" s="236">
        <v>74.585171182524675</v>
      </c>
      <c r="Q44" s="236">
        <v>77.787512135060268</v>
      </c>
      <c r="R44" s="193">
        <v>11546</v>
      </c>
      <c r="S44" s="193">
        <v>21306</v>
      </c>
      <c r="T44" s="193">
        <v>32852</v>
      </c>
      <c r="U44" s="194">
        <v>289</v>
      </c>
      <c r="V44" s="194">
        <v>212</v>
      </c>
      <c r="W44" s="193">
        <v>501</v>
      </c>
      <c r="X44" s="193">
        <v>805</v>
      </c>
      <c r="Y44" s="193">
        <v>1018</v>
      </c>
      <c r="Z44" s="193">
        <v>1823</v>
      </c>
      <c r="AA44" s="195">
        <v>2.5030313528494719</v>
      </c>
      <c r="AB44" s="195">
        <v>0.99502487562189057</v>
      </c>
      <c r="AC44" s="195">
        <v>1.5250213076829418</v>
      </c>
      <c r="AD44" s="195">
        <v>6.9721115537848606</v>
      </c>
      <c r="AE44" s="195">
        <v>4.7779968084107765</v>
      </c>
      <c r="AF44" s="195">
        <v>5.5491294289540978</v>
      </c>
    </row>
    <row r="45" spans="1:32" x14ac:dyDescent="0.25">
      <c r="A45" s="527" t="s">
        <v>256</v>
      </c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7"/>
      <c r="V45" s="527"/>
      <c r="W45" s="527"/>
      <c r="X45" s="527"/>
      <c r="Y45" s="527"/>
      <c r="Z45" s="527"/>
      <c r="AA45" s="527"/>
      <c r="AB45" s="527"/>
      <c r="AC45" s="527"/>
      <c r="AD45" s="527"/>
      <c r="AE45" s="527"/>
      <c r="AF45" s="527"/>
    </row>
    <row r="46" spans="1:32" ht="28.5" x14ac:dyDescent="0.25">
      <c r="A46" s="239">
        <v>1</v>
      </c>
      <c r="B46" s="53" t="s">
        <v>280</v>
      </c>
      <c r="C46" s="31">
        <v>90534</v>
      </c>
      <c r="D46" s="31">
        <v>40612</v>
      </c>
      <c r="E46" s="227">
        <f t="shared" ref="E46:E48" si="15">C46+D46</f>
        <v>131146</v>
      </c>
      <c r="F46" s="31">
        <v>52910</v>
      </c>
      <c r="G46" s="31">
        <v>24736</v>
      </c>
      <c r="H46" s="227">
        <f t="shared" ref="H46:H48" si="16">F46+G46</f>
        <v>77646</v>
      </c>
      <c r="I46" s="31"/>
      <c r="J46" s="31"/>
      <c r="K46" s="227"/>
      <c r="L46" s="31">
        <v>52910</v>
      </c>
      <c r="M46" s="31">
        <v>24736</v>
      </c>
      <c r="N46" s="227">
        <f t="shared" ref="N46:N48" si="17">L46+M46</f>
        <v>77646</v>
      </c>
      <c r="O46" s="236">
        <f>+L46/C46%</f>
        <v>58.442132237612384</v>
      </c>
      <c r="P46" s="236">
        <f t="shared" ref="P46:Q46" si="18">+M46/D46%</f>
        <v>60.908105978528511</v>
      </c>
      <c r="Q46" s="236">
        <f t="shared" si="18"/>
        <v>59.205770667805346</v>
      </c>
      <c r="R46" s="227">
        <f t="shared" ref="R46:T48" si="19">F46</f>
        <v>52910</v>
      </c>
      <c r="S46" s="227">
        <f t="shared" si="19"/>
        <v>24736</v>
      </c>
      <c r="T46" s="227">
        <f t="shared" si="19"/>
        <v>77646</v>
      </c>
      <c r="U46" s="227">
        <v>1050</v>
      </c>
      <c r="V46" s="227">
        <v>565</v>
      </c>
      <c r="W46" s="227">
        <f t="shared" ref="W46" si="20">U46+V46</f>
        <v>1615</v>
      </c>
      <c r="X46" s="227">
        <v>11963</v>
      </c>
      <c r="Y46" s="227">
        <v>4829</v>
      </c>
      <c r="Z46" s="227">
        <f t="shared" ref="Z46:Z48" si="21">X46+Y46</f>
        <v>16792</v>
      </c>
      <c r="AA46" s="216">
        <f t="shared" ref="AA46:AC46" si="22">U46/R46%</f>
        <v>1.9845019845019845</v>
      </c>
      <c r="AB46" s="216">
        <f t="shared" si="22"/>
        <v>2.2841203104786545</v>
      </c>
      <c r="AC46" s="216">
        <f t="shared" si="22"/>
        <v>2.079952605414316</v>
      </c>
      <c r="AD46" s="216">
        <f t="shared" ref="AD46:AF46" si="23">X46/R46%</f>
        <v>22.610092610092607</v>
      </c>
      <c r="AE46" s="216">
        <f t="shared" si="23"/>
        <v>19.522153945666233</v>
      </c>
      <c r="AF46" s="216">
        <f t="shared" si="23"/>
        <v>21.626355510908482</v>
      </c>
    </row>
    <row r="47" spans="1:32" x14ac:dyDescent="0.25">
      <c r="A47" s="239">
        <v>2</v>
      </c>
      <c r="B47" s="53" t="s">
        <v>288</v>
      </c>
      <c r="C47" s="240">
        <v>32320</v>
      </c>
      <c r="D47" s="240">
        <v>15485</v>
      </c>
      <c r="E47" s="227">
        <f t="shared" si="15"/>
        <v>47805</v>
      </c>
      <c r="F47" s="240">
        <f>23699+2933</f>
        <v>26632</v>
      </c>
      <c r="G47" s="240">
        <f>12232+1257</f>
        <v>13489</v>
      </c>
      <c r="H47" s="227">
        <f t="shared" si="16"/>
        <v>40121</v>
      </c>
      <c r="I47" s="241"/>
      <c r="J47" s="241"/>
      <c r="K47" s="227"/>
      <c r="L47" s="240">
        <f>23699+2933</f>
        <v>26632</v>
      </c>
      <c r="M47" s="240">
        <f>12232+1257</f>
        <v>13489</v>
      </c>
      <c r="N47" s="227">
        <f t="shared" si="17"/>
        <v>40121</v>
      </c>
      <c r="O47" s="236">
        <f t="shared" ref="O47:O48" si="24">+L47/C47%</f>
        <v>82.400990099009903</v>
      </c>
      <c r="P47" s="236">
        <f t="shared" ref="P47:P48" si="25">+M47/D47%</f>
        <v>87.110106554730393</v>
      </c>
      <c r="Q47" s="236">
        <f t="shared" ref="Q47:Q48" si="26">+N47/E47%</f>
        <v>83.926367534776702</v>
      </c>
      <c r="R47" s="227">
        <f t="shared" si="19"/>
        <v>26632</v>
      </c>
      <c r="S47" s="227">
        <f t="shared" si="19"/>
        <v>13489</v>
      </c>
      <c r="T47" s="227">
        <f t="shared" si="19"/>
        <v>40121</v>
      </c>
      <c r="U47" s="212"/>
      <c r="V47" s="212"/>
      <c r="W47" s="212"/>
      <c r="X47" s="212"/>
      <c r="Y47" s="212"/>
      <c r="Z47" s="212"/>
      <c r="AA47" s="228"/>
      <c r="AB47" s="228"/>
      <c r="AC47" s="228"/>
      <c r="AD47" s="228"/>
      <c r="AE47" s="228"/>
      <c r="AF47" s="228"/>
    </row>
    <row r="48" spans="1:32" x14ac:dyDescent="0.25">
      <c r="A48" s="239">
        <v>3</v>
      </c>
      <c r="B48" s="53" t="s">
        <v>223</v>
      </c>
      <c r="C48" s="31">
        <v>49677</v>
      </c>
      <c r="D48" s="31">
        <v>56400</v>
      </c>
      <c r="E48" s="227">
        <f t="shared" si="15"/>
        <v>106077</v>
      </c>
      <c r="F48" s="31">
        <f>30622+8490</f>
        <v>39112</v>
      </c>
      <c r="G48" s="31">
        <f>31312+4565</f>
        <v>35877</v>
      </c>
      <c r="H48" s="227">
        <f t="shared" si="16"/>
        <v>74989</v>
      </c>
      <c r="I48" s="31"/>
      <c r="J48" s="31"/>
      <c r="K48" s="227"/>
      <c r="L48" s="31">
        <f>30622+8490</f>
        <v>39112</v>
      </c>
      <c r="M48" s="31">
        <f>31312+4565</f>
        <v>35877</v>
      </c>
      <c r="N48" s="227">
        <f t="shared" si="17"/>
        <v>74989</v>
      </c>
      <c r="O48" s="236">
        <f t="shared" si="24"/>
        <v>78.732612677899226</v>
      </c>
      <c r="P48" s="236">
        <f t="shared" si="25"/>
        <v>63.611702127659576</v>
      </c>
      <c r="Q48" s="236">
        <f t="shared" si="26"/>
        <v>70.692987169697489</v>
      </c>
      <c r="R48" s="227">
        <f t="shared" si="19"/>
        <v>39112</v>
      </c>
      <c r="S48" s="227">
        <f t="shared" si="19"/>
        <v>35877</v>
      </c>
      <c r="T48" s="227">
        <f t="shared" si="19"/>
        <v>74989</v>
      </c>
      <c r="U48" s="227">
        <v>41</v>
      </c>
      <c r="V48" s="227">
        <v>44</v>
      </c>
      <c r="W48" s="227">
        <f>U48+V48</f>
        <v>85</v>
      </c>
      <c r="X48" s="227">
        <v>1948</v>
      </c>
      <c r="Y48" s="227">
        <v>1759</v>
      </c>
      <c r="Z48" s="227">
        <f t="shared" si="21"/>
        <v>3707</v>
      </c>
      <c r="AA48" s="216">
        <f t="shared" ref="AA48:AC48" si="27">U48/R48%</f>
        <v>0.1048271630190223</v>
      </c>
      <c r="AB48" s="216">
        <f t="shared" si="27"/>
        <v>0.12264124648103242</v>
      </c>
      <c r="AC48" s="216">
        <f t="shared" si="27"/>
        <v>0.1133499579938391</v>
      </c>
      <c r="AD48" s="216">
        <f>X48/R48%</f>
        <v>4.9805686234403765</v>
      </c>
      <c r="AE48" s="216">
        <f>Y48/S48%</f>
        <v>4.9028625581849097</v>
      </c>
      <c r="AF48" s="216">
        <f>Z48/T48%</f>
        <v>4.9433916974489591</v>
      </c>
    </row>
    <row r="49" spans="1:32" ht="28.5" x14ac:dyDescent="0.25">
      <c r="A49" s="239">
        <v>4</v>
      </c>
      <c r="B49" s="53" t="s">
        <v>281</v>
      </c>
      <c r="C49" s="225"/>
      <c r="D49" s="225"/>
      <c r="E49" s="212"/>
      <c r="F49" s="225"/>
      <c r="G49" s="225"/>
      <c r="H49" s="212"/>
      <c r="I49" s="225"/>
      <c r="J49" s="225"/>
      <c r="K49" s="212"/>
      <c r="L49" s="225"/>
      <c r="M49" s="225"/>
      <c r="N49" s="212"/>
      <c r="O49" s="225"/>
      <c r="P49" s="225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28"/>
      <c r="AB49" s="228"/>
      <c r="AC49" s="228"/>
      <c r="AD49" s="228"/>
      <c r="AE49" s="228"/>
      <c r="AF49" s="228"/>
    </row>
    <row r="50" spans="1:32" x14ac:dyDescent="0.25">
      <c r="A50" s="239">
        <v>5</v>
      </c>
      <c r="B50" s="53" t="s">
        <v>282</v>
      </c>
      <c r="C50" s="31">
        <v>22522</v>
      </c>
      <c r="D50" s="31">
        <v>20681</v>
      </c>
      <c r="E50" s="227">
        <f t="shared" ref="E50:E51" si="28">C50+D50</f>
        <v>43203</v>
      </c>
      <c r="F50" s="31">
        <f>9467+4493</f>
        <v>13960</v>
      </c>
      <c r="G50" s="31">
        <f>11750+5133</f>
        <v>16883</v>
      </c>
      <c r="H50" s="227">
        <f t="shared" ref="H50:H51" si="29">F50+G50</f>
        <v>30843</v>
      </c>
      <c r="I50" s="31"/>
      <c r="J50" s="31"/>
      <c r="K50" s="227"/>
      <c r="L50" s="31">
        <f>9467+4493</f>
        <v>13960</v>
      </c>
      <c r="M50" s="31">
        <f>11750+5133</f>
        <v>16883</v>
      </c>
      <c r="N50" s="227">
        <f t="shared" ref="N50:N51" si="30">L50+M50</f>
        <v>30843</v>
      </c>
      <c r="O50" s="236">
        <f t="shared" ref="O50" si="31">+L50/C50%</f>
        <v>61.983838025042182</v>
      </c>
      <c r="P50" s="236">
        <f t="shared" ref="P50" si="32">+M50/D50%</f>
        <v>81.635317441129544</v>
      </c>
      <c r="Q50" s="236">
        <f t="shared" ref="Q50" si="33">+N50/E50%</f>
        <v>71.390875633636554</v>
      </c>
      <c r="R50" s="170">
        <f t="shared" ref="R50:T51" si="34">F50</f>
        <v>13960</v>
      </c>
      <c r="S50" s="170">
        <f t="shared" si="34"/>
        <v>16883</v>
      </c>
      <c r="T50" s="227">
        <f t="shared" si="34"/>
        <v>30843</v>
      </c>
      <c r="U50" s="212"/>
      <c r="V50" s="212"/>
      <c r="W50" s="212"/>
      <c r="X50" s="212"/>
      <c r="Y50" s="212"/>
      <c r="Z50" s="212"/>
      <c r="AA50" s="228"/>
      <c r="AB50" s="228"/>
      <c r="AC50" s="228"/>
      <c r="AD50" s="228"/>
      <c r="AE50" s="228"/>
      <c r="AF50" s="228"/>
    </row>
    <row r="51" spans="1:32" ht="28.5" x14ac:dyDescent="0.25">
      <c r="A51" s="242">
        <v>6</v>
      </c>
      <c r="B51" s="210" t="s">
        <v>255</v>
      </c>
      <c r="C51" s="188">
        <f>8555+1339+487+39+6987+1097+395+27</f>
        <v>18926</v>
      </c>
      <c r="D51" s="188">
        <f>9263+1393+526+10843+1578+673+24</f>
        <v>24300</v>
      </c>
      <c r="E51" s="227">
        <f t="shared" si="28"/>
        <v>43226</v>
      </c>
      <c r="F51" s="188">
        <f>2059+302+88+13+1791+242+59+5</f>
        <v>4559</v>
      </c>
      <c r="G51" s="188">
        <f>2796+373+95+4+3117+366+136+9</f>
        <v>6896</v>
      </c>
      <c r="H51" s="227">
        <f t="shared" si="29"/>
        <v>11455</v>
      </c>
      <c r="I51" s="188"/>
      <c r="J51" s="188"/>
      <c r="K51" s="170"/>
      <c r="L51" s="188">
        <f>2059+302+88+13+1791+242+59+5</f>
        <v>4559</v>
      </c>
      <c r="M51" s="188">
        <f>2796+373+95+4+3117+366+136+9</f>
        <v>6896</v>
      </c>
      <c r="N51" s="227">
        <f t="shared" si="30"/>
        <v>11455</v>
      </c>
      <c r="O51" s="236">
        <f t="shared" ref="O51" si="35">+L51/C51%</f>
        <v>24.088555426397548</v>
      </c>
      <c r="P51" s="236">
        <f t="shared" ref="P51" si="36">+M51/D51%</f>
        <v>28.378600823045268</v>
      </c>
      <c r="Q51" s="236">
        <f t="shared" ref="Q51" si="37">+N51/E51%</f>
        <v>26.500254476472495</v>
      </c>
      <c r="R51" s="170">
        <f t="shared" si="34"/>
        <v>4559</v>
      </c>
      <c r="S51" s="170">
        <f t="shared" si="34"/>
        <v>6896</v>
      </c>
      <c r="T51" s="227">
        <f t="shared" si="34"/>
        <v>11455</v>
      </c>
      <c r="U51" s="212"/>
      <c r="V51" s="212"/>
      <c r="W51" s="212"/>
      <c r="X51" s="213">
        <f>179+13+2+86+7+1</f>
        <v>288</v>
      </c>
      <c r="Y51" s="213">
        <f>116+9+281+24+1</f>
        <v>431</v>
      </c>
      <c r="Z51" s="227">
        <f t="shared" ref="Z51" si="38">X51+Y51</f>
        <v>719</v>
      </c>
      <c r="AA51" s="228"/>
      <c r="AB51" s="228"/>
      <c r="AC51" s="228"/>
      <c r="AD51" s="216">
        <f>X51/R51%</f>
        <v>6.3171748190392627</v>
      </c>
      <c r="AE51" s="216">
        <f>Y51/S51%</f>
        <v>6.2500000000000009</v>
      </c>
      <c r="AF51" s="216">
        <f>Z51/T51%</f>
        <v>6.2767350501964208</v>
      </c>
    </row>
    <row r="52" spans="1:32" x14ac:dyDescent="0.25">
      <c r="A52" s="526" t="s">
        <v>3</v>
      </c>
      <c r="B52" s="526"/>
      <c r="C52" s="217">
        <f t="shared" ref="C52:L52" si="39">SUM(C9:C51)</f>
        <v>10292567</v>
      </c>
      <c r="D52" s="217">
        <f t="shared" si="39"/>
        <v>8865570</v>
      </c>
      <c r="E52" s="217">
        <f t="shared" si="39"/>
        <v>19158137</v>
      </c>
      <c r="F52" s="217">
        <f t="shared" si="39"/>
        <v>7763058</v>
      </c>
      <c r="G52" s="217">
        <f t="shared" si="39"/>
        <v>6967588</v>
      </c>
      <c r="H52" s="217">
        <f t="shared" si="39"/>
        <v>14730646</v>
      </c>
      <c r="I52" s="217">
        <f t="shared" si="39"/>
        <v>205108</v>
      </c>
      <c r="J52" s="217">
        <f t="shared" si="39"/>
        <v>169201</v>
      </c>
      <c r="K52" s="217">
        <f t="shared" si="39"/>
        <v>374309</v>
      </c>
      <c r="L52" s="217">
        <f t="shared" si="39"/>
        <v>7968166</v>
      </c>
      <c r="M52" s="217">
        <f t="shared" ref="M52:N52" si="40">SUM(M9:M51)</f>
        <v>7136789</v>
      </c>
      <c r="N52" s="217">
        <f t="shared" si="40"/>
        <v>15104955</v>
      </c>
      <c r="O52" s="218">
        <f t="shared" ref="O52:Q52" si="41">+L52/C52%</f>
        <v>77.41670275257863</v>
      </c>
      <c r="P52" s="218">
        <f t="shared" si="41"/>
        <v>80.500058089891567</v>
      </c>
      <c r="Q52" s="218">
        <f t="shared" si="41"/>
        <v>78.843548305349316</v>
      </c>
      <c r="R52" s="217">
        <f t="shared" ref="R52:Z52" si="42">SUM(R9:R51)</f>
        <v>7968166</v>
      </c>
      <c r="S52" s="217">
        <f t="shared" si="42"/>
        <v>7136789</v>
      </c>
      <c r="T52" s="217">
        <f t="shared" si="42"/>
        <v>15104955</v>
      </c>
      <c r="U52" s="217">
        <f t="shared" si="42"/>
        <v>948823</v>
      </c>
      <c r="V52" s="217">
        <f t="shared" si="42"/>
        <v>1108229</v>
      </c>
      <c r="W52" s="217">
        <f t="shared" si="42"/>
        <v>2057052</v>
      </c>
      <c r="X52" s="217">
        <f t="shared" si="42"/>
        <v>2008843</v>
      </c>
      <c r="Y52" s="217">
        <f t="shared" si="42"/>
        <v>1905625</v>
      </c>
      <c r="Z52" s="217">
        <f t="shared" si="42"/>
        <v>3914468</v>
      </c>
      <c r="AA52" s="219">
        <f>+U52/R52%</f>
        <v>11.907671100225572</v>
      </c>
      <c r="AB52" s="219">
        <f t="shared" ref="AB52:AC52" si="43">+V52/S52%</f>
        <v>15.52839799523287</v>
      </c>
      <c r="AC52" s="219">
        <f t="shared" si="43"/>
        <v>13.618392110403507</v>
      </c>
      <c r="AD52" s="219">
        <f>+X52/R52%</f>
        <v>25.210857805924224</v>
      </c>
      <c r="AE52" s="219">
        <f t="shared" ref="AE52:AF52" si="44">+Y52/S52%</f>
        <v>26.701433936186149</v>
      </c>
      <c r="AF52" s="219">
        <f t="shared" si="44"/>
        <v>25.915125202292892</v>
      </c>
    </row>
    <row r="53" spans="1:32" x14ac:dyDescent="0.25">
      <c r="A53" s="204"/>
      <c r="B53" s="144"/>
      <c r="C53" s="509" t="s">
        <v>278</v>
      </c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 t="s">
        <v>278</v>
      </c>
      <c r="S53" s="509"/>
      <c r="T53" s="509"/>
      <c r="U53" s="509"/>
      <c r="V53" s="509"/>
      <c r="W53" s="509"/>
      <c r="X53" s="509"/>
      <c r="Y53" s="509"/>
      <c r="Z53" s="509"/>
      <c r="AA53" s="509"/>
      <c r="AB53" s="509"/>
      <c r="AC53" s="509"/>
      <c r="AD53" s="509"/>
      <c r="AE53" s="509"/>
      <c r="AF53" s="509"/>
    </row>
    <row r="54" spans="1:32" x14ac:dyDescent="0.25">
      <c r="A54" s="204"/>
      <c r="B54" s="144"/>
      <c r="C54" s="509" t="s">
        <v>248</v>
      </c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 t="s">
        <v>248</v>
      </c>
      <c r="S54" s="509"/>
      <c r="T54" s="509"/>
      <c r="U54" s="509"/>
      <c r="V54" s="509"/>
      <c r="W54" s="509"/>
      <c r="X54" s="509"/>
      <c r="Y54" s="509"/>
      <c r="Z54" s="509"/>
      <c r="AA54" s="509"/>
      <c r="AB54" s="509"/>
      <c r="AC54" s="509"/>
      <c r="AD54" s="509"/>
      <c r="AE54" s="509"/>
      <c r="AF54" s="509"/>
    </row>
    <row r="55" spans="1:32" x14ac:dyDescent="0.25">
      <c r="A55" s="204"/>
      <c r="B55" s="144"/>
      <c r="C55" s="509" t="s">
        <v>228</v>
      </c>
      <c r="D55" s="509"/>
      <c r="E55" s="509"/>
      <c r="F55" s="509"/>
      <c r="G55" s="509"/>
      <c r="H55" s="509"/>
      <c r="I55" s="509"/>
      <c r="J55" s="509"/>
      <c r="K55" s="509"/>
      <c r="L55" s="509"/>
      <c r="M55" s="509"/>
      <c r="N55" s="509"/>
      <c r="O55" s="509"/>
      <c r="P55" s="509"/>
      <c r="Q55" s="509"/>
      <c r="R55" s="509" t="s">
        <v>228</v>
      </c>
      <c r="S55" s="509"/>
      <c r="T55" s="509"/>
      <c r="U55" s="509"/>
      <c r="V55" s="509"/>
      <c r="W55" s="509"/>
      <c r="X55" s="509"/>
      <c r="Y55" s="509"/>
      <c r="Z55" s="509"/>
      <c r="AA55" s="509"/>
      <c r="AB55" s="509"/>
      <c r="AC55" s="509"/>
      <c r="AD55" s="509"/>
      <c r="AE55" s="509"/>
      <c r="AF55" s="509"/>
    </row>
    <row r="56" spans="1:32" x14ac:dyDescent="0.25">
      <c r="A56" s="204"/>
      <c r="B56" s="144"/>
      <c r="C56" s="344" t="s">
        <v>310</v>
      </c>
      <c r="D56" s="121"/>
      <c r="E56" s="121"/>
      <c r="F56" s="121"/>
      <c r="G56" s="121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344" t="s">
        <v>310</v>
      </c>
      <c r="S56" s="121"/>
      <c r="T56" s="121"/>
      <c r="U56" s="121"/>
      <c r="V56" s="121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</row>
    <row r="57" spans="1:32" x14ac:dyDescent="0.25">
      <c r="A57" s="204"/>
      <c r="C57" s="342" t="s">
        <v>279</v>
      </c>
      <c r="D57" s="342"/>
      <c r="E57" s="342"/>
      <c r="F57" s="342"/>
      <c r="G57" s="342"/>
      <c r="H57" s="342"/>
      <c r="I57" s="342"/>
      <c r="J57" s="342"/>
      <c r="K57" s="342"/>
      <c r="L57" s="342"/>
      <c r="M57" s="342"/>
      <c r="R57" s="342" t="s">
        <v>279</v>
      </c>
      <c r="S57" s="342"/>
      <c r="T57" s="342"/>
      <c r="U57" s="342"/>
      <c r="V57" s="342"/>
      <c r="W57" s="342"/>
      <c r="X57" s="342"/>
      <c r="Y57" s="342"/>
      <c r="Z57" s="342"/>
      <c r="AA57" s="342"/>
      <c r="AB57" s="342"/>
    </row>
    <row r="58" spans="1:32" x14ac:dyDescent="0.25">
      <c r="A58" s="204"/>
      <c r="C58" s="368" t="s">
        <v>332</v>
      </c>
      <c r="D58" s="368"/>
      <c r="E58" s="368"/>
      <c r="F58" s="369" t="s">
        <v>333</v>
      </c>
      <c r="G58" s="368"/>
      <c r="H58" s="368"/>
      <c r="I58" s="368"/>
      <c r="R58" s="368" t="s">
        <v>332</v>
      </c>
      <c r="S58" s="368"/>
      <c r="T58" s="368"/>
      <c r="U58" s="369" t="s">
        <v>333</v>
      </c>
      <c r="V58" s="368"/>
      <c r="W58" s="368"/>
      <c r="X58" s="368"/>
    </row>
    <row r="59" spans="1:32" x14ac:dyDescent="0.25">
      <c r="A59" s="204"/>
    </row>
    <row r="60" spans="1:32" x14ac:dyDescent="0.25">
      <c r="A60" s="204"/>
    </row>
    <row r="61" spans="1:32" x14ac:dyDescent="0.25">
      <c r="A61" s="204"/>
    </row>
    <row r="62" spans="1:32" x14ac:dyDescent="0.25">
      <c r="A62" s="204"/>
    </row>
    <row r="63" spans="1:32" x14ac:dyDescent="0.25">
      <c r="A63" s="204"/>
    </row>
    <row r="64" spans="1:32" x14ac:dyDescent="0.25">
      <c r="A64" s="204"/>
    </row>
    <row r="65" spans="1:2" x14ac:dyDescent="0.25">
      <c r="A65" s="204"/>
      <c r="B65" s="144"/>
    </row>
    <row r="66" spans="1:2" x14ac:dyDescent="0.25">
      <c r="A66" s="204"/>
      <c r="B66" s="144"/>
    </row>
    <row r="67" spans="1:2" x14ac:dyDescent="0.25">
      <c r="A67" s="204"/>
      <c r="B67" s="144"/>
    </row>
    <row r="68" spans="1:2" x14ac:dyDescent="0.25">
      <c r="A68" s="204"/>
      <c r="B68" s="144"/>
    </row>
    <row r="69" spans="1:2" x14ac:dyDescent="0.25">
      <c r="A69" s="204"/>
      <c r="B69" s="144"/>
    </row>
    <row r="70" spans="1:2" x14ac:dyDescent="0.25">
      <c r="A70" s="204"/>
      <c r="B70" s="144"/>
    </row>
    <row r="71" spans="1:2" x14ac:dyDescent="0.25">
      <c r="A71" s="204"/>
      <c r="B71" s="144"/>
    </row>
    <row r="72" spans="1:2" x14ac:dyDescent="0.25">
      <c r="A72" s="204"/>
      <c r="B72" s="144"/>
    </row>
    <row r="73" spans="1:2" x14ac:dyDescent="0.25">
      <c r="A73" s="204"/>
      <c r="B73" s="144"/>
    </row>
    <row r="74" spans="1:2" x14ac:dyDescent="0.25">
      <c r="A74" s="204"/>
      <c r="B74" s="144"/>
    </row>
    <row r="75" spans="1:2" x14ac:dyDescent="0.25">
      <c r="A75" s="204"/>
      <c r="B75" s="144"/>
    </row>
    <row r="76" spans="1:2" x14ac:dyDescent="0.25">
      <c r="A76" s="204"/>
      <c r="B76" s="144"/>
    </row>
    <row r="77" spans="1:2" x14ac:dyDescent="0.25">
      <c r="A77" s="204"/>
      <c r="B77" s="144"/>
    </row>
    <row r="78" spans="1:2" x14ac:dyDescent="0.25">
      <c r="A78" s="204"/>
      <c r="B78" s="144"/>
    </row>
    <row r="79" spans="1:2" x14ac:dyDescent="0.25">
      <c r="A79" s="204"/>
      <c r="B79" s="144"/>
    </row>
    <row r="80" spans="1:2" x14ac:dyDescent="0.25">
      <c r="A80" s="204"/>
      <c r="B80" s="144"/>
    </row>
    <row r="81" spans="1:2" x14ac:dyDescent="0.25">
      <c r="A81" s="204"/>
      <c r="B81" s="144"/>
    </row>
    <row r="82" spans="1:2" x14ac:dyDescent="0.25">
      <c r="A82" s="204"/>
      <c r="B82" s="144"/>
    </row>
    <row r="83" spans="1:2" x14ac:dyDescent="0.25">
      <c r="A83" s="204"/>
      <c r="B83" s="144"/>
    </row>
    <row r="84" spans="1:2" x14ac:dyDescent="0.25">
      <c r="A84" s="204"/>
      <c r="B84" s="144"/>
    </row>
    <row r="85" spans="1:2" x14ac:dyDescent="0.25">
      <c r="A85" s="204"/>
      <c r="B85" s="144"/>
    </row>
    <row r="86" spans="1:2" x14ac:dyDescent="0.25">
      <c r="A86" s="204"/>
      <c r="B86" s="144"/>
    </row>
    <row r="87" spans="1:2" x14ac:dyDescent="0.25">
      <c r="A87" s="204"/>
      <c r="B87" s="144"/>
    </row>
    <row r="88" spans="1:2" x14ac:dyDescent="0.25">
      <c r="A88" s="204"/>
      <c r="B88" s="144"/>
    </row>
  </sheetData>
  <mergeCells count="46">
    <mergeCell ref="A3:A6"/>
    <mergeCell ref="B3:B6"/>
    <mergeCell ref="C3:N3"/>
    <mergeCell ref="C2:Q2"/>
    <mergeCell ref="C1:Q1"/>
    <mergeCell ref="C4:E5"/>
    <mergeCell ref="F4:N4"/>
    <mergeCell ref="F5:H5"/>
    <mergeCell ref="I5:K5"/>
    <mergeCell ref="L5:N5"/>
    <mergeCell ref="R3:T5"/>
    <mergeCell ref="U3:Z4"/>
    <mergeCell ref="AA3:AF4"/>
    <mergeCell ref="AD5:AF5"/>
    <mergeCell ref="O3:Q5"/>
    <mergeCell ref="U5:W5"/>
    <mergeCell ref="X5:Z5"/>
    <mergeCell ref="AA5:AC5"/>
    <mergeCell ref="A11:B11"/>
    <mergeCell ref="C11:Q11"/>
    <mergeCell ref="R8:AF8"/>
    <mergeCell ref="A8:B8"/>
    <mergeCell ref="C8:Q8"/>
    <mergeCell ref="Y45:Z45"/>
    <mergeCell ref="AA45:AB45"/>
    <mergeCell ref="AC45:AD45"/>
    <mergeCell ref="AE45:AF45"/>
    <mergeCell ref="M45:N45"/>
    <mergeCell ref="O45:P45"/>
    <mergeCell ref="Q45:R45"/>
    <mergeCell ref="S45:T45"/>
    <mergeCell ref="U45:V45"/>
    <mergeCell ref="W45:X45"/>
    <mergeCell ref="R55:AF55"/>
    <mergeCell ref="C55:Q55"/>
    <mergeCell ref="R54:AF54"/>
    <mergeCell ref="R53:AF53"/>
    <mergeCell ref="C54:Q54"/>
    <mergeCell ref="C53:Q53"/>
    <mergeCell ref="K45:L45"/>
    <mergeCell ref="A52:B52"/>
    <mergeCell ref="C45:D45"/>
    <mergeCell ref="E45:F45"/>
    <mergeCell ref="G45:H45"/>
    <mergeCell ref="I45:J45"/>
    <mergeCell ref="A45:B45"/>
  </mergeCells>
  <hyperlinks>
    <hyperlink ref="F58" r:id="rId1" xr:uid="{00000000-0004-0000-0900-000000000000}"/>
    <hyperlink ref="U58" r:id="rId2" xr:uid="{00000000-0004-0000-0900-000001000000}"/>
  </hyperlinks>
  <pageMargins left="0.23622047244094491" right="0.23622047244094491" top="0.74803149606299213" bottom="0.74803149606299213" header="0.31496062992125984" footer="0.31496062992125984"/>
  <pageSetup paperSize="9" scale="70" firstPageNumber="69" orientation="landscape" useFirstPageNumber="1" r:id="rId3"/>
  <headerFooter>
    <oddFooter>Page &amp;P</oddFooter>
  </headerFooter>
  <rowBreaks count="1" manualBreakCount="1">
    <brk id="31" max="16383" man="1"/>
  </rowBreaks>
  <colBreaks count="1" manualBreakCount="1">
    <brk id="1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93"/>
  <sheetViews>
    <sheetView view="pageBreakPreview" zoomScale="60" workbookViewId="0">
      <selection activeCell="R3" sqref="R3:T5"/>
    </sheetView>
  </sheetViews>
  <sheetFormatPr defaultRowHeight="15" x14ac:dyDescent="0.25"/>
  <cols>
    <col min="1" max="1" width="9.28515625" bestFit="1" customWidth="1"/>
    <col min="2" max="2" width="35.85546875" customWidth="1"/>
    <col min="3" max="3" width="12.5703125" customWidth="1"/>
    <col min="4" max="4" width="12" bestFit="1" customWidth="1"/>
    <col min="5" max="5" width="13" bestFit="1" customWidth="1"/>
    <col min="6" max="7" width="12" bestFit="1" customWidth="1"/>
    <col min="8" max="8" width="11.7109375" bestFit="1" customWidth="1"/>
    <col min="9" max="9" width="10.5703125" bestFit="1" customWidth="1"/>
    <col min="10" max="10" width="10.140625" bestFit="1" customWidth="1"/>
    <col min="11" max="11" width="10.5703125" bestFit="1" customWidth="1"/>
    <col min="12" max="12" width="11.5703125" bestFit="1" customWidth="1"/>
    <col min="13" max="13" width="10.5703125" bestFit="1" customWidth="1"/>
    <col min="14" max="14" width="13" bestFit="1" customWidth="1"/>
    <col min="15" max="16" width="9.28515625" bestFit="1" customWidth="1"/>
    <col min="18" max="18" width="11.5703125" customWidth="1"/>
    <col min="19" max="19" width="10.28515625" bestFit="1" customWidth="1"/>
    <col min="20" max="20" width="11.5703125" bestFit="1" customWidth="1"/>
    <col min="22" max="26" width="10.28515625" bestFit="1" customWidth="1"/>
  </cols>
  <sheetData>
    <row r="1" spans="1:32" ht="18" customHeight="1" x14ac:dyDescent="0.25">
      <c r="A1" s="144"/>
      <c r="B1" s="163"/>
      <c r="C1" s="511" t="s">
        <v>283</v>
      </c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157" t="s">
        <v>283</v>
      </c>
      <c r="S1" s="157"/>
      <c r="T1" s="157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</row>
    <row r="2" spans="1:32" ht="15.75" customHeight="1" x14ac:dyDescent="0.25">
      <c r="A2" s="164"/>
      <c r="B2" s="243"/>
      <c r="C2" s="512" t="s">
        <v>337</v>
      </c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146" t="s">
        <v>338</v>
      </c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</row>
    <row r="3" spans="1:32" ht="15" customHeight="1" x14ac:dyDescent="0.25">
      <c r="A3" s="521" t="s">
        <v>192</v>
      </c>
      <c r="B3" s="555" t="s">
        <v>260</v>
      </c>
      <c r="C3" s="482" t="s">
        <v>188</v>
      </c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554" t="s">
        <v>189</v>
      </c>
      <c r="P3" s="554"/>
      <c r="Q3" s="554"/>
      <c r="R3" s="533" t="s">
        <v>193</v>
      </c>
      <c r="S3" s="534"/>
      <c r="T3" s="535"/>
      <c r="U3" s="533" t="s">
        <v>194</v>
      </c>
      <c r="V3" s="534"/>
      <c r="W3" s="534"/>
      <c r="X3" s="534"/>
      <c r="Y3" s="534"/>
      <c r="Z3" s="535"/>
      <c r="AA3" s="533" t="s">
        <v>195</v>
      </c>
      <c r="AB3" s="534"/>
      <c r="AC3" s="534"/>
      <c r="AD3" s="534"/>
      <c r="AE3" s="534"/>
      <c r="AF3" s="535"/>
    </row>
    <row r="4" spans="1:32" x14ac:dyDescent="0.25">
      <c r="A4" s="521"/>
      <c r="B4" s="482"/>
      <c r="C4" s="482" t="s">
        <v>5</v>
      </c>
      <c r="D4" s="482"/>
      <c r="E4" s="482"/>
      <c r="F4" s="482" t="s">
        <v>6</v>
      </c>
      <c r="G4" s="482"/>
      <c r="H4" s="482"/>
      <c r="I4" s="482"/>
      <c r="J4" s="482"/>
      <c r="K4" s="482"/>
      <c r="L4" s="482"/>
      <c r="M4" s="482"/>
      <c r="N4" s="482"/>
      <c r="O4" s="554"/>
      <c r="P4" s="554"/>
      <c r="Q4" s="554"/>
      <c r="R4" s="536"/>
      <c r="S4" s="537"/>
      <c r="T4" s="538"/>
      <c r="U4" s="539"/>
      <c r="V4" s="540"/>
      <c r="W4" s="540"/>
      <c r="X4" s="540"/>
      <c r="Y4" s="540"/>
      <c r="Z4" s="541"/>
      <c r="AA4" s="539"/>
      <c r="AB4" s="540"/>
      <c r="AC4" s="540"/>
      <c r="AD4" s="540"/>
      <c r="AE4" s="540"/>
      <c r="AF4" s="541"/>
    </row>
    <row r="5" spans="1:32" ht="15" customHeight="1" x14ac:dyDescent="0.25">
      <c r="A5" s="521"/>
      <c r="B5" s="482"/>
      <c r="C5" s="482"/>
      <c r="D5" s="482"/>
      <c r="E5" s="482"/>
      <c r="F5" s="482" t="s">
        <v>51</v>
      </c>
      <c r="G5" s="482"/>
      <c r="H5" s="482"/>
      <c r="I5" s="482" t="s">
        <v>190</v>
      </c>
      <c r="J5" s="482"/>
      <c r="K5" s="482"/>
      <c r="L5" s="482" t="s">
        <v>262</v>
      </c>
      <c r="M5" s="482"/>
      <c r="N5" s="482"/>
      <c r="O5" s="554"/>
      <c r="P5" s="554"/>
      <c r="Q5" s="554"/>
      <c r="R5" s="539"/>
      <c r="S5" s="540"/>
      <c r="T5" s="541"/>
      <c r="U5" s="542" t="s">
        <v>229</v>
      </c>
      <c r="V5" s="543"/>
      <c r="W5" s="544"/>
      <c r="X5" s="542" t="s">
        <v>230</v>
      </c>
      <c r="Y5" s="543"/>
      <c r="Z5" s="544"/>
      <c r="AA5" s="542" t="s">
        <v>229</v>
      </c>
      <c r="AB5" s="543"/>
      <c r="AC5" s="544"/>
      <c r="AD5" s="542" t="s">
        <v>230</v>
      </c>
      <c r="AE5" s="543"/>
      <c r="AF5" s="544"/>
    </row>
    <row r="6" spans="1:32" x14ac:dyDescent="0.25">
      <c r="A6" s="521"/>
      <c r="B6" s="482"/>
      <c r="C6" s="158" t="s">
        <v>43</v>
      </c>
      <c r="D6" s="158" t="s">
        <v>44</v>
      </c>
      <c r="E6" s="158" t="s">
        <v>3</v>
      </c>
      <c r="F6" s="158" t="s">
        <v>43</v>
      </c>
      <c r="G6" s="158" t="s">
        <v>44</v>
      </c>
      <c r="H6" s="158" t="s">
        <v>3</v>
      </c>
      <c r="I6" s="158" t="s">
        <v>43</v>
      </c>
      <c r="J6" s="158" t="s">
        <v>44</v>
      </c>
      <c r="K6" s="158" t="s">
        <v>3</v>
      </c>
      <c r="L6" s="158" t="s">
        <v>43</v>
      </c>
      <c r="M6" s="158" t="s">
        <v>44</v>
      </c>
      <c r="N6" s="158" t="s">
        <v>3</v>
      </c>
      <c r="O6" s="244" t="s">
        <v>43</v>
      </c>
      <c r="P6" s="244" t="s">
        <v>44</v>
      </c>
      <c r="Q6" s="244" t="s">
        <v>3</v>
      </c>
      <c r="R6" s="158" t="s">
        <v>43</v>
      </c>
      <c r="S6" s="158" t="s">
        <v>44</v>
      </c>
      <c r="T6" s="158" t="s">
        <v>3</v>
      </c>
      <c r="U6" s="158" t="s">
        <v>43</v>
      </c>
      <c r="V6" s="158" t="s">
        <v>44</v>
      </c>
      <c r="W6" s="158" t="s">
        <v>3</v>
      </c>
      <c r="X6" s="158" t="s">
        <v>43</v>
      </c>
      <c r="Y6" s="158" t="s">
        <v>44</v>
      </c>
      <c r="Z6" s="158" t="s">
        <v>3</v>
      </c>
      <c r="AA6" s="158" t="s">
        <v>43</v>
      </c>
      <c r="AB6" s="158" t="s">
        <v>44</v>
      </c>
      <c r="AC6" s="158" t="s">
        <v>3</v>
      </c>
      <c r="AD6" s="158" t="s">
        <v>43</v>
      </c>
      <c r="AE6" s="158" t="s">
        <v>44</v>
      </c>
      <c r="AF6" s="158" t="s">
        <v>3</v>
      </c>
    </row>
    <row r="7" spans="1:32" x14ac:dyDescent="0.25">
      <c r="A7" s="245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246">
        <v>15</v>
      </c>
      <c r="P7" s="246">
        <v>16</v>
      </c>
      <c r="Q7" s="246">
        <v>17</v>
      </c>
      <c r="R7" s="78">
        <v>3</v>
      </c>
      <c r="S7" s="78">
        <v>4</v>
      </c>
      <c r="T7" s="78">
        <v>5</v>
      </c>
      <c r="U7" s="78">
        <v>6</v>
      </c>
      <c r="V7" s="78">
        <v>7</v>
      </c>
      <c r="W7" s="78">
        <v>8</v>
      </c>
      <c r="X7" s="78">
        <v>9</v>
      </c>
      <c r="Y7" s="78">
        <v>10</v>
      </c>
      <c r="Z7" s="78">
        <v>11</v>
      </c>
      <c r="AA7" s="78">
        <v>12</v>
      </c>
      <c r="AB7" s="78">
        <v>13</v>
      </c>
      <c r="AC7" s="78">
        <v>14</v>
      </c>
      <c r="AD7" s="78">
        <v>15</v>
      </c>
      <c r="AE7" s="78">
        <v>16</v>
      </c>
      <c r="AF7" s="78">
        <v>17</v>
      </c>
    </row>
    <row r="8" spans="1:32" x14ac:dyDescent="0.25">
      <c r="A8" s="506" t="s">
        <v>216</v>
      </c>
      <c r="B8" s="506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29"/>
      <c r="S8" s="530"/>
      <c r="T8" s="530"/>
      <c r="U8" s="530"/>
      <c r="V8" s="530"/>
      <c r="W8" s="530"/>
      <c r="X8" s="530"/>
      <c r="Y8" s="530"/>
      <c r="Z8" s="530"/>
      <c r="AA8" s="530"/>
      <c r="AB8" s="530"/>
      <c r="AC8" s="530"/>
      <c r="AD8" s="530"/>
      <c r="AE8" s="530"/>
      <c r="AF8" s="531"/>
    </row>
    <row r="9" spans="1:32" ht="28.5" x14ac:dyDescent="0.25">
      <c r="A9" s="247">
        <v>1</v>
      </c>
      <c r="B9" s="27" t="s">
        <v>143</v>
      </c>
      <c r="C9" s="250">
        <v>791561</v>
      </c>
      <c r="D9" s="250">
        <v>533686</v>
      </c>
      <c r="E9" s="250">
        <v>1325247</v>
      </c>
      <c r="F9" s="250">
        <v>781556</v>
      </c>
      <c r="G9" s="250">
        <v>528666</v>
      </c>
      <c r="H9" s="250">
        <v>1310222</v>
      </c>
      <c r="I9" s="250">
        <v>1851</v>
      </c>
      <c r="J9" s="250">
        <v>810</v>
      </c>
      <c r="K9" s="250">
        <v>2661</v>
      </c>
      <c r="L9" s="248">
        <v>783407</v>
      </c>
      <c r="M9" s="248">
        <v>529476</v>
      </c>
      <c r="N9" s="248">
        <v>1312883</v>
      </c>
      <c r="O9" s="249">
        <v>98.969883559195054</v>
      </c>
      <c r="P9" s="249">
        <v>99.211146629291378</v>
      </c>
      <c r="Q9" s="249">
        <v>99.067041842011335</v>
      </c>
      <c r="R9" s="180">
        <f t="shared" ref="R9:T10" si="0">L9</f>
        <v>783407</v>
      </c>
      <c r="S9" s="180">
        <f t="shared" si="0"/>
        <v>529476</v>
      </c>
      <c r="T9" s="180">
        <f t="shared" si="0"/>
        <v>1312883</v>
      </c>
      <c r="U9" s="108"/>
      <c r="V9" s="108"/>
      <c r="W9" s="108"/>
      <c r="X9" s="108"/>
      <c r="Y9" s="108"/>
      <c r="Z9" s="108"/>
      <c r="AA9" s="251"/>
      <c r="AB9" s="251"/>
      <c r="AC9" s="251"/>
      <c r="AD9" s="252"/>
      <c r="AE9" s="252"/>
      <c r="AF9" s="252"/>
    </row>
    <row r="10" spans="1:32" ht="28.5" x14ac:dyDescent="0.25">
      <c r="A10" s="253">
        <v>2</v>
      </c>
      <c r="B10" s="27" t="s">
        <v>231</v>
      </c>
      <c r="C10" s="250">
        <v>82860</v>
      </c>
      <c r="D10" s="250">
        <v>66234</v>
      </c>
      <c r="E10" s="250">
        <v>149094</v>
      </c>
      <c r="F10" s="250">
        <v>81106</v>
      </c>
      <c r="G10" s="250">
        <v>65433</v>
      </c>
      <c r="H10" s="250">
        <v>146539</v>
      </c>
      <c r="I10" s="254"/>
      <c r="J10" s="254"/>
      <c r="K10" s="254"/>
      <c r="L10" s="248">
        <v>81106</v>
      </c>
      <c r="M10" s="248">
        <v>65433</v>
      </c>
      <c r="N10" s="248">
        <v>146539</v>
      </c>
      <c r="O10" s="249">
        <v>97.88317644219164</v>
      </c>
      <c r="P10" s="249">
        <v>98.790651327112968</v>
      </c>
      <c r="Q10" s="249">
        <v>98.286316015399677</v>
      </c>
      <c r="R10" s="180">
        <f t="shared" si="0"/>
        <v>81106</v>
      </c>
      <c r="S10" s="180">
        <f t="shared" si="0"/>
        <v>65433</v>
      </c>
      <c r="T10" s="180">
        <f t="shared" si="0"/>
        <v>146539</v>
      </c>
      <c r="U10" s="180">
        <v>43360</v>
      </c>
      <c r="V10" s="180">
        <v>40162</v>
      </c>
      <c r="W10" s="180">
        <f>U10+V10</f>
        <v>83522</v>
      </c>
      <c r="X10" s="180">
        <v>25652</v>
      </c>
      <c r="Y10" s="180">
        <v>18954</v>
      </c>
      <c r="Z10" s="180">
        <f>X10+Y10</f>
        <v>44606</v>
      </c>
      <c r="AA10" s="249">
        <f t="shared" ref="AA10:AC10" si="1">U10/R10%</f>
        <v>53.46090301580648</v>
      </c>
      <c r="AB10" s="249">
        <f t="shared" si="1"/>
        <v>61.378814971039077</v>
      </c>
      <c r="AC10" s="249">
        <f t="shared" si="1"/>
        <v>56.996430984243098</v>
      </c>
      <c r="AD10" s="255">
        <f t="shared" ref="AD10:AF10" si="2">X10/R10%</f>
        <v>31.627746405937909</v>
      </c>
      <c r="AE10" s="255">
        <f t="shared" si="2"/>
        <v>28.967034982348355</v>
      </c>
      <c r="AF10" s="255">
        <f t="shared" si="2"/>
        <v>30.439678174410904</v>
      </c>
    </row>
    <row r="11" spans="1:32" x14ac:dyDescent="0.25">
      <c r="A11" s="550" t="s">
        <v>217</v>
      </c>
      <c r="B11" s="550"/>
      <c r="C11" s="551"/>
      <c r="D11" s="552"/>
      <c r="E11" s="552"/>
      <c r="F11" s="552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3"/>
      <c r="R11" s="256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8"/>
    </row>
    <row r="12" spans="1:32" ht="28.5" x14ac:dyDescent="0.25">
      <c r="A12" s="247">
        <v>3</v>
      </c>
      <c r="B12" s="43" t="s">
        <v>263</v>
      </c>
      <c r="C12" s="250">
        <v>336271</v>
      </c>
      <c r="D12" s="250">
        <v>296731</v>
      </c>
      <c r="E12" s="250">
        <v>633002</v>
      </c>
      <c r="F12" s="250">
        <v>286548</v>
      </c>
      <c r="G12" s="250">
        <v>263757</v>
      </c>
      <c r="H12" s="250">
        <v>550305</v>
      </c>
      <c r="I12" s="254"/>
      <c r="J12" s="254"/>
      <c r="K12" s="254"/>
      <c r="L12" s="248">
        <v>286548</v>
      </c>
      <c r="M12" s="248">
        <v>263757</v>
      </c>
      <c r="N12" s="250">
        <v>550305</v>
      </c>
      <c r="O12" s="249">
        <v>85.213414180824401</v>
      </c>
      <c r="P12" s="249">
        <v>88.887578311669486</v>
      </c>
      <c r="Q12" s="249">
        <v>86.935744278849043</v>
      </c>
      <c r="R12" s="180">
        <v>286548</v>
      </c>
      <c r="S12" s="180">
        <v>263757</v>
      </c>
      <c r="T12" s="180">
        <v>550305</v>
      </c>
      <c r="U12" s="180">
        <v>1997</v>
      </c>
      <c r="V12" s="180">
        <v>2025</v>
      </c>
      <c r="W12" s="180">
        <v>4022</v>
      </c>
      <c r="X12" s="180">
        <v>14910</v>
      </c>
      <c r="Y12" s="180">
        <v>8421</v>
      </c>
      <c r="Z12" s="180">
        <v>23331</v>
      </c>
      <c r="AA12" s="249">
        <v>0.69691639795077964</v>
      </c>
      <c r="AB12" s="249">
        <v>0.7677521354883472</v>
      </c>
      <c r="AC12" s="249">
        <v>0.73086742806261984</v>
      </c>
      <c r="AD12" s="255">
        <v>5.2033167218057708</v>
      </c>
      <c r="AE12" s="255">
        <v>3.1927114730604305</v>
      </c>
      <c r="AF12" s="255">
        <v>4.2396489219614573</v>
      </c>
    </row>
    <row r="13" spans="1:32" ht="28.5" x14ac:dyDescent="0.25">
      <c r="A13" s="253">
        <v>4</v>
      </c>
      <c r="B13" s="43" t="s">
        <v>213</v>
      </c>
      <c r="C13" s="250">
        <v>310603</v>
      </c>
      <c r="D13" s="250">
        <v>271785</v>
      </c>
      <c r="E13" s="250">
        <v>582388</v>
      </c>
      <c r="F13" s="250">
        <v>230782</v>
      </c>
      <c r="G13" s="250">
        <v>221749</v>
      </c>
      <c r="H13" s="250">
        <v>452531</v>
      </c>
      <c r="I13" s="254"/>
      <c r="J13" s="254"/>
      <c r="K13" s="254"/>
      <c r="L13" s="248">
        <v>230782</v>
      </c>
      <c r="M13" s="248">
        <v>221749</v>
      </c>
      <c r="N13" s="250">
        <v>452531</v>
      </c>
      <c r="O13" s="249">
        <v>74.301278480890403</v>
      </c>
      <c r="P13" s="249">
        <v>81.589859631694168</v>
      </c>
      <c r="Q13" s="249">
        <v>77.702665576900614</v>
      </c>
      <c r="R13" s="180">
        <v>230782</v>
      </c>
      <c r="S13" s="180">
        <v>221749</v>
      </c>
      <c r="T13" s="180">
        <v>452531</v>
      </c>
      <c r="U13" s="108"/>
      <c r="V13" s="108"/>
      <c r="W13" s="108"/>
      <c r="X13" s="108"/>
      <c r="Y13" s="108"/>
      <c r="Z13" s="108"/>
      <c r="AA13" s="251"/>
      <c r="AB13" s="251"/>
      <c r="AC13" s="251"/>
      <c r="AD13" s="252"/>
      <c r="AE13" s="252"/>
      <c r="AF13" s="252"/>
    </row>
    <row r="14" spans="1:32" x14ac:dyDescent="0.25">
      <c r="A14" s="247">
        <v>5</v>
      </c>
      <c r="B14" s="43" t="s">
        <v>264</v>
      </c>
      <c r="C14" s="250">
        <v>183527</v>
      </c>
      <c r="D14" s="250">
        <v>195504</v>
      </c>
      <c r="E14" s="250">
        <v>379031</v>
      </c>
      <c r="F14" s="250">
        <v>119915</v>
      </c>
      <c r="G14" s="250">
        <v>112883</v>
      </c>
      <c r="H14" s="250">
        <v>232798</v>
      </c>
      <c r="I14" s="254"/>
      <c r="J14" s="254"/>
      <c r="K14" s="254"/>
      <c r="L14" s="248">
        <v>119915</v>
      </c>
      <c r="M14" s="248">
        <v>112883</v>
      </c>
      <c r="N14" s="250">
        <v>232798</v>
      </c>
      <c r="O14" s="249">
        <v>65.339159905626971</v>
      </c>
      <c r="P14" s="249">
        <v>57.739483591128568</v>
      </c>
      <c r="Q14" s="249">
        <v>61.41925066815115</v>
      </c>
      <c r="R14" s="180">
        <v>119915</v>
      </c>
      <c r="S14" s="180">
        <v>112883</v>
      </c>
      <c r="T14" s="180">
        <v>232798</v>
      </c>
      <c r="U14" s="180">
        <v>6075</v>
      </c>
      <c r="V14" s="180">
        <v>5424</v>
      </c>
      <c r="W14" s="180">
        <v>11499</v>
      </c>
      <c r="X14" s="180">
        <v>21279</v>
      </c>
      <c r="Y14" s="180">
        <v>18268</v>
      </c>
      <c r="Z14" s="180">
        <v>39547</v>
      </c>
      <c r="AA14" s="249">
        <v>5.0660884793395322</v>
      </c>
      <c r="AB14" s="249">
        <v>4.8049750626755143</v>
      </c>
      <c r="AC14" s="249">
        <v>4.9394754250466066</v>
      </c>
      <c r="AD14" s="255">
        <v>17.745069424175455</v>
      </c>
      <c r="AE14" s="255">
        <v>16.183127663155659</v>
      </c>
      <c r="AF14" s="255">
        <v>16.987688897670942</v>
      </c>
    </row>
    <row r="15" spans="1:32" x14ac:dyDescent="0.25">
      <c r="A15" s="253">
        <v>6</v>
      </c>
      <c r="B15" s="43" t="s">
        <v>265</v>
      </c>
      <c r="C15" s="250">
        <v>8180</v>
      </c>
      <c r="D15" s="250">
        <v>5759</v>
      </c>
      <c r="E15" s="250">
        <v>13939</v>
      </c>
      <c r="F15" s="250">
        <v>4975</v>
      </c>
      <c r="G15" s="250">
        <v>4140</v>
      </c>
      <c r="H15" s="250">
        <v>9115</v>
      </c>
      <c r="I15" s="254"/>
      <c r="J15" s="254"/>
      <c r="K15" s="254"/>
      <c r="L15" s="248">
        <v>4975</v>
      </c>
      <c r="M15" s="248">
        <v>4140</v>
      </c>
      <c r="N15" s="250">
        <v>9115</v>
      </c>
      <c r="O15" s="249">
        <v>60.819070904645478</v>
      </c>
      <c r="P15" s="249">
        <v>71.887480465358564</v>
      </c>
      <c r="Q15" s="249">
        <v>65.392065427936004</v>
      </c>
      <c r="R15" s="180">
        <v>4975</v>
      </c>
      <c r="S15" s="180">
        <v>4140</v>
      </c>
      <c r="T15" s="180">
        <v>9115</v>
      </c>
      <c r="U15" s="108"/>
      <c r="V15" s="108"/>
      <c r="W15" s="108"/>
      <c r="X15" s="108"/>
      <c r="Y15" s="108"/>
      <c r="Z15" s="108"/>
      <c r="AA15" s="251"/>
      <c r="AB15" s="251"/>
      <c r="AC15" s="251"/>
      <c r="AD15" s="252"/>
      <c r="AE15" s="252"/>
      <c r="AF15" s="252"/>
    </row>
    <row r="16" spans="1:32" x14ac:dyDescent="0.25">
      <c r="A16" s="247">
        <v>7</v>
      </c>
      <c r="B16" s="43" t="s">
        <v>266</v>
      </c>
      <c r="C16" s="250">
        <v>27</v>
      </c>
      <c r="D16" s="250">
        <v>171</v>
      </c>
      <c r="E16" s="250">
        <v>198</v>
      </c>
      <c r="F16" s="250">
        <v>26</v>
      </c>
      <c r="G16" s="250">
        <v>159</v>
      </c>
      <c r="H16" s="250">
        <v>185</v>
      </c>
      <c r="I16" s="250">
        <v>0</v>
      </c>
      <c r="J16" s="250">
        <v>8</v>
      </c>
      <c r="K16" s="250">
        <v>8</v>
      </c>
      <c r="L16" s="248">
        <v>26</v>
      </c>
      <c r="M16" s="248">
        <v>167</v>
      </c>
      <c r="N16" s="250">
        <v>193</v>
      </c>
      <c r="O16" s="249">
        <v>96.296296296296291</v>
      </c>
      <c r="P16" s="249">
        <v>97.660818713450297</v>
      </c>
      <c r="Q16" s="249">
        <v>97.474747474747474</v>
      </c>
      <c r="R16" s="180">
        <v>26</v>
      </c>
      <c r="S16" s="180">
        <v>167</v>
      </c>
      <c r="T16" s="180">
        <v>193</v>
      </c>
      <c r="U16" s="180">
        <v>7</v>
      </c>
      <c r="V16" s="180">
        <v>81</v>
      </c>
      <c r="W16" s="180">
        <v>88</v>
      </c>
      <c r="X16" s="180">
        <v>11</v>
      </c>
      <c r="Y16" s="180">
        <v>54</v>
      </c>
      <c r="Z16" s="180">
        <v>65</v>
      </c>
      <c r="AA16" s="249">
        <v>26.923076923076923</v>
      </c>
      <c r="AB16" s="249">
        <v>48.50299401197605</v>
      </c>
      <c r="AC16" s="249">
        <v>45.595854922279791</v>
      </c>
      <c r="AD16" s="255">
        <v>42.307692307692307</v>
      </c>
      <c r="AE16" s="255">
        <v>32.335329341317369</v>
      </c>
      <c r="AF16" s="255">
        <v>33.678756476683937</v>
      </c>
    </row>
    <row r="17" spans="1:32" x14ac:dyDescent="0.25">
      <c r="A17" s="253">
        <v>8</v>
      </c>
      <c r="B17" s="43" t="s">
        <v>138</v>
      </c>
      <c r="C17" s="250">
        <v>640094</v>
      </c>
      <c r="D17" s="250">
        <v>541838</v>
      </c>
      <c r="E17" s="250">
        <v>1181932</v>
      </c>
      <c r="F17" s="250">
        <v>509647</v>
      </c>
      <c r="G17" s="250">
        <v>401338</v>
      </c>
      <c r="H17" s="250">
        <v>910985</v>
      </c>
      <c r="I17" s="227">
        <v>18914</v>
      </c>
      <c r="J17" s="250">
        <v>26869</v>
      </c>
      <c r="K17" s="250">
        <v>45783</v>
      </c>
      <c r="L17" s="248">
        <v>528561</v>
      </c>
      <c r="M17" s="248">
        <v>428207</v>
      </c>
      <c r="N17" s="250">
        <v>956768</v>
      </c>
      <c r="O17" s="249">
        <v>82.575527969329514</v>
      </c>
      <c r="P17" s="249">
        <v>79.028602645071032</v>
      </c>
      <c r="Q17" s="249">
        <v>80.949496248515146</v>
      </c>
      <c r="R17" s="180">
        <v>528561</v>
      </c>
      <c r="S17" s="180">
        <v>428207</v>
      </c>
      <c r="T17" s="180">
        <v>956768</v>
      </c>
      <c r="U17" s="180">
        <v>5547</v>
      </c>
      <c r="V17" s="180">
        <v>2644</v>
      </c>
      <c r="W17" s="180">
        <v>8191</v>
      </c>
      <c r="X17" s="180">
        <v>135569</v>
      </c>
      <c r="Y17" s="180">
        <v>89030</v>
      </c>
      <c r="Z17" s="180">
        <v>224599</v>
      </c>
      <c r="AA17" s="249">
        <v>1.0494531378592065</v>
      </c>
      <c r="AB17" s="249">
        <v>0.61745837877475152</v>
      </c>
      <c r="AC17" s="249">
        <v>0.85611140840830791</v>
      </c>
      <c r="AD17" s="255">
        <v>25.64869523101402</v>
      </c>
      <c r="AE17" s="255">
        <v>20.791346241420623</v>
      </c>
      <c r="AF17" s="255">
        <v>23.474760861567276</v>
      </c>
    </row>
    <row r="18" spans="1:32" x14ac:dyDescent="0.25">
      <c r="A18" s="247">
        <v>9</v>
      </c>
      <c r="B18" s="43" t="s">
        <v>267</v>
      </c>
      <c r="C18" s="250">
        <v>27086</v>
      </c>
      <c r="D18" s="250">
        <v>47562</v>
      </c>
      <c r="E18" s="250">
        <v>74648</v>
      </c>
      <c r="F18" s="250">
        <v>23692</v>
      </c>
      <c r="G18" s="250">
        <v>43772</v>
      </c>
      <c r="H18" s="250">
        <v>67464</v>
      </c>
      <c r="I18" s="254"/>
      <c r="J18" s="254"/>
      <c r="K18" s="254"/>
      <c r="L18" s="248">
        <v>23692</v>
      </c>
      <c r="M18" s="248">
        <v>43772</v>
      </c>
      <c r="N18" s="250">
        <v>67464</v>
      </c>
      <c r="O18" s="249">
        <v>87.469541460533122</v>
      </c>
      <c r="P18" s="249">
        <v>92.031453681510442</v>
      </c>
      <c r="Q18" s="249">
        <v>90.376165469938911</v>
      </c>
      <c r="R18" s="180">
        <v>23692</v>
      </c>
      <c r="S18" s="180">
        <v>43772</v>
      </c>
      <c r="T18" s="180">
        <v>67464</v>
      </c>
      <c r="U18" s="180">
        <v>1766</v>
      </c>
      <c r="V18" s="180">
        <v>3184</v>
      </c>
      <c r="W18" s="180">
        <v>4950</v>
      </c>
      <c r="X18" s="180">
        <v>15895</v>
      </c>
      <c r="Y18" s="180">
        <v>28656</v>
      </c>
      <c r="Z18" s="180">
        <v>44551</v>
      </c>
      <c r="AA18" s="249">
        <v>7.4539929089988188</v>
      </c>
      <c r="AB18" s="249">
        <v>7.2740564744585576</v>
      </c>
      <c r="AC18" s="249">
        <v>7.3372465314834576</v>
      </c>
      <c r="AD18" s="255">
        <v>67.090157015026179</v>
      </c>
      <c r="AE18" s="255">
        <v>65.466508270127022</v>
      </c>
      <c r="AF18" s="255">
        <v>66.036701055377691</v>
      </c>
    </row>
    <row r="19" spans="1:32" ht="28.5" x14ac:dyDescent="0.25">
      <c r="A19" s="247">
        <v>10</v>
      </c>
      <c r="B19" s="43" t="s">
        <v>145</v>
      </c>
      <c r="C19" s="250">
        <v>216396</v>
      </c>
      <c r="D19" s="250">
        <v>223899</v>
      </c>
      <c r="E19" s="250">
        <v>440295</v>
      </c>
      <c r="F19" s="250">
        <v>113736</v>
      </c>
      <c r="G19" s="250">
        <v>120456</v>
      </c>
      <c r="H19" s="250">
        <v>234192</v>
      </c>
      <c r="I19" s="250">
        <v>5767</v>
      </c>
      <c r="J19" s="250">
        <v>7005</v>
      </c>
      <c r="K19" s="250">
        <v>12772</v>
      </c>
      <c r="L19" s="180">
        <v>119503</v>
      </c>
      <c r="M19" s="180">
        <v>127461</v>
      </c>
      <c r="N19" s="250">
        <v>246964</v>
      </c>
      <c r="O19" s="249">
        <v>55.224218562265484</v>
      </c>
      <c r="P19" s="249">
        <v>56.927900526576714</v>
      </c>
      <c r="Q19" s="249">
        <v>56.090575636788977</v>
      </c>
      <c r="R19" s="180">
        <v>119503</v>
      </c>
      <c r="S19" s="180">
        <v>127461</v>
      </c>
      <c r="T19" s="180">
        <v>246964</v>
      </c>
      <c r="U19" s="180">
        <v>4394</v>
      </c>
      <c r="V19" s="180">
        <v>4134</v>
      </c>
      <c r="W19" s="180">
        <v>8528</v>
      </c>
      <c r="X19" s="180">
        <v>11494</v>
      </c>
      <c r="Y19" s="180">
        <v>11646</v>
      </c>
      <c r="Z19" s="180">
        <v>23140</v>
      </c>
      <c r="AA19" s="249">
        <v>3.6768951407077646</v>
      </c>
      <c r="AB19" s="249">
        <v>3.2433450231835623</v>
      </c>
      <c r="AC19" s="249">
        <v>3.453134869859575</v>
      </c>
      <c r="AD19" s="255">
        <v>9.6181685815418856</v>
      </c>
      <c r="AE19" s="255">
        <v>9.1369124673429525</v>
      </c>
      <c r="AF19" s="255">
        <v>9.3697866895579924</v>
      </c>
    </row>
    <row r="20" spans="1:32" x14ac:dyDescent="0.25">
      <c r="A20" s="253">
        <v>11</v>
      </c>
      <c r="B20" s="43" t="s">
        <v>268</v>
      </c>
      <c r="C20" s="250">
        <v>75</v>
      </c>
      <c r="D20" s="250">
        <v>65</v>
      </c>
      <c r="E20" s="250">
        <v>140</v>
      </c>
      <c r="F20" s="250">
        <v>24</v>
      </c>
      <c r="G20" s="250">
        <v>36</v>
      </c>
      <c r="H20" s="250">
        <v>60</v>
      </c>
      <c r="I20" s="254"/>
      <c r="J20" s="254"/>
      <c r="K20" s="254"/>
      <c r="L20" s="180">
        <v>24</v>
      </c>
      <c r="M20" s="180">
        <v>36</v>
      </c>
      <c r="N20" s="250">
        <v>60</v>
      </c>
      <c r="O20" s="249">
        <v>32</v>
      </c>
      <c r="P20" s="249">
        <v>55.384615384615387</v>
      </c>
      <c r="Q20" s="249">
        <v>42.857142857142854</v>
      </c>
      <c r="R20" s="180">
        <v>24</v>
      </c>
      <c r="S20" s="180">
        <v>36</v>
      </c>
      <c r="T20" s="180">
        <v>60</v>
      </c>
      <c r="U20" s="180">
        <v>1</v>
      </c>
      <c r="V20" s="180">
        <v>0</v>
      </c>
      <c r="W20" s="180">
        <v>1</v>
      </c>
      <c r="X20" s="180">
        <v>1</v>
      </c>
      <c r="Y20" s="180">
        <v>4</v>
      </c>
      <c r="Z20" s="180">
        <v>5</v>
      </c>
      <c r="AA20" s="249">
        <v>4.166666666666667</v>
      </c>
      <c r="AB20" s="249">
        <v>0</v>
      </c>
      <c r="AC20" s="249">
        <v>1.6666666666666667</v>
      </c>
      <c r="AD20" s="255">
        <v>4.166666666666667</v>
      </c>
      <c r="AE20" s="255">
        <v>11.111111111111111</v>
      </c>
      <c r="AF20" s="255">
        <v>8.3333333333333339</v>
      </c>
    </row>
    <row r="21" spans="1:32" ht="28.5" x14ac:dyDescent="0.25">
      <c r="A21" s="247">
        <v>12</v>
      </c>
      <c r="B21" s="43" t="s">
        <v>144</v>
      </c>
      <c r="C21" s="250">
        <v>331</v>
      </c>
      <c r="D21" s="250">
        <v>247</v>
      </c>
      <c r="E21" s="250">
        <v>578</v>
      </c>
      <c r="F21" s="250">
        <v>265</v>
      </c>
      <c r="G21" s="250">
        <v>199</v>
      </c>
      <c r="H21" s="250">
        <v>464</v>
      </c>
      <c r="I21" s="250">
        <v>31</v>
      </c>
      <c r="J21" s="250">
        <v>18</v>
      </c>
      <c r="K21" s="250">
        <v>49</v>
      </c>
      <c r="L21" s="248">
        <v>296</v>
      </c>
      <c r="M21" s="248">
        <v>217</v>
      </c>
      <c r="N21" s="250">
        <v>513</v>
      </c>
      <c r="O21" s="249">
        <v>89.42598187311178</v>
      </c>
      <c r="P21" s="249">
        <v>87.854251012145738</v>
      </c>
      <c r="Q21" s="249">
        <v>88.754325259515582</v>
      </c>
      <c r="R21" s="180">
        <v>296</v>
      </c>
      <c r="S21" s="180">
        <v>217</v>
      </c>
      <c r="T21" s="180">
        <v>513</v>
      </c>
      <c r="U21" s="108"/>
      <c r="V21" s="108"/>
      <c r="W21" s="108"/>
      <c r="X21" s="180">
        <v>37</v>
      </c>
      <c r="Y21" s="180">
        <v>32</v>
      </c>
      <c r="Z21" s="180">
        <v>69</v>
      </c>
      <c r="AA21" s="251"/>
      <c r="AB21" s="251"/>
      <c r="AC21" s="251"/>
      <c r="AD21" s="255">
        <v>12.5</v>
      </c>
      <c r="AE21" s="255">
        <v>14.746543778801843</v>
      </c>
      <c r="AF21" s="255">
        <v>13.450292397660819</v>
      </c>
    </row>
    <row r="22" spans="1:32" ht="28.5" x14ac:dyDescent="0.25">
      <c r="A22" s="253">
        <v>13</v>
      </c>
      <c r="B22" s="43" t="s">
        <v>148</v>
      </c>
      <c r="C22" s="250">
        <v>10115</v>
      </c>
      <c r="D22" s="250">
        <v>9847</v>
      </c>
      <c r="E22" s="250">
        <v>19962</v>
      </c>
      <c r="F22" s="250">
        <v>7846</v>
      </c>
      <c r="G22" s="250">
        <v>7798</v>
      </c>
      <c r="H22" s="250">
        <v>15644</v>
      </c>
      <c r="I22" s="250">
        <v>587</v>
      </c>
      <c r="J22" s="250">
        <v>570</v>
      </c>
      <c r="K22" s="250">
        <v>1157</v>
      </c>
      <c r="L22" s="248">
        <v>8433</v>
      </c>
      <c r="M22" s="248">
        <v>8368</v>
      </c>
      <c r="N22" s="250">
        <v>16801</v>
      </c>
      <c r="O22" s="249">
        <v>83.371230845279285</v>
      </c>
      <c r="P22" s="249">
        <v>84.980197014319074</v>
      </c>
      <c r="Q22" s="249">
        <v>84.164913335337147</v>
      </c>
      <c r="R22" s="180">
        <v>8433</v>
      </c>
      <c r="S22" s="180">
        <v>8368</v>
      </c>
      <c r="T22" s="180">
        <v>16801</v>
      </c>
      <c r="U22" s="180">
        <v>1189</v>
      </c>
      <c r="V22" s="180">
        <v>1867</v>
      </c>
      <c r="W22" s="180">
        <v>3056</v>
      </c>
      <c r="X22" s="180">
        <v>2400</v>
      </c>
      <c r="Y22" s="180">
        <v>3009</v>
      </c>
      <c r="Z22" s="180">
        <v>5409</v>
      </c>
      <c r="AA22" s="249">
        <v>14.099371516660739</v>
      </c>
      <c r="AB22" s="249">
        <v>22.311185468451242</v>
      </c>
      <c r="AC22" s="249">
        <v>18.189393488482828</v>
      </c>
      <c r="AD22" s="255">
        <v>28.459622909996444</v>
      </c>
      <c r="AE22" s="255">
        <v>35.958413001912042</v>
      </c>
      <c r="AF22" s="255">
        <v>32.194512231414798</v>
      </c>
    </row>
    <row r="23" spans="1:32" ht="28.5" x14ac:dyDescent="0.25">
      <c r="A23" s="247">
        <v>14</v>
      </c>
      <c r="B23" s="43" t="s">
        <v>149</v>
      </c>
      <c r="C23" s="250">
        <v>494147</v>
      </c>
      <c r="D23" s="250">
        <v>317855</v>
      </c>
      <c r="E23" s="250">
        <v>812002</v>
      </c>
      <c r="F23" s="250">
        <v>329873</v>
      </c>
      <c r="G23" s="250">
        <v>241368</v>
      </c>
      <c r="H23" s="250">
        <v>571241</v>
      </c>
      <c r="I23" s="250">
        <v>18665</v>
      </c>
      <c r="J23" s="250">
        <v>9315</v>
      </c>
      <c r="K23" s="250">
        <v>27980</v>
      </c>
      <c r="L23" s="248">
        <v>348538</v>
      </c>
      <c r="M23" s="248">
        <v>250683</v>
      </c>
      <c r="N23" s="250">
        <v>599221</v>
      </c>
      <c r="O23" s="249">
        <v>70.533262369294974</v>
      </c>
      <c r="P23" s="249">
        <v>78.867093486023492</v>
      </c>
      <c r="Q23" s="249">
        <v>73.795507892837691</v>
      </c>
      <c r="R23" s="180">
        <v>348538</v>
      </c>
      <c r="S23" s="180">
        <v>250683</v>
      </c>
      <c r="T23" s="180">
        <v>599221</v>
      </c>
      <c r="U23" s="180">
        <v>45904</v>
      </c>
      <c r="V23" s="180">
        <v>38424</v>
      </c>
      <c r="W23" s="180">
        <v>84328</v>
      </c>
      <c r="X23" s="180">
        <v>132021</v>
      </c>
      <c r="Y23" s="180">
        <v>105783</v>
      </c>
      <c r="Z23" s="180">
        <v>237804</v>
      </c>
      <c r="AA23" s="249">
        <v>13.170443394981321</v>
      </c>
      <c r="AB23" s="249">
        <v>15.327724656239155</v>
      </c>
      <c r="AC23" s="249">
        <v>14.072938031210521</v>
      </c>
      <c r="AD23" s="255">
        <v>37.87850966035267</v>
      </c>
      <c r="AE23" s="255">
        <v>42.197915295412933</v>
      </c>
      <c r="AF23" s="255">
        <v>39.685525040010283</v>
      </c>
    </row>
    <row r="24" spans="1:32" x14ac:dyDescent="0.25">
      <c r="A24" s="253">
        <v>15</v>
      </c>
      <c r="B24" s="27" t="s">
        <v>284</v>
      </c>
      <c r="C24" s="250">
        <v>225605</v>
      </c>
      <c r="D24" s="250">
        <v>177529</v>
      </c>
      <c r="E24" s="250">
        <v>403134</v>
      </c>
      <c r="F24" s="250">
        <v>131342</v>
      </c>
      <c r="G24" s="250">
        <v>111145</v>
      </c>
      <c r="H24" s="250">
        <v>242487</v>
      </c>
      <c r="I24" s="250">
        <v>18601</v>
      </c>
      <c r="J24" s="250">
        <v>11626</v>
      </c>
      <c r="K24" s="250">
        <v>30227</v>
      </c>
      <c r="L24" s="248">
        <v>149943</v>
      </c>
      <c r="M24" s="248">
        <v>122771</v>
      </c>
      <c r="N24" s="250">
        <v>272714</v>
      </c>
      <c r="O24" s="249">
        <v>66.462622725560166</v>
      </c>
      <c r="P24" s="249">
        <v>69.155461924530641</v>
      </c>
      <c r="Q24" s="249">
        <v>67.648474204606899</v>
      </c>
      <c r="R24" s="32">
        <f t="shared" ref="R24:T24" si="3">L24</f>
        <v>149943</v>
      </c>
      <c r="S24" s="180">
        <f t="shared" si="3"/>
        <v>122771</v>
      </c>
      <c r="T24" s="180">
        <f t="shared" si="3"/>
        <v>272714</v>
      </c>
      <c r="U24" s="180">
        <v>4539</v>
      </c>
      <c r="V24" s="180">
        <v>7395</v>
      </c>
      <c r="W24" s="180">
        <f t="shared" ref="W24" si="4">U24+V24</f>
        <v>11934</v>
      </c>
      <c r="X24" s="180">
        <v>59980</v>
      </c>
      <c r="Y24" s="180">
        <v>58482</v>
      </c>
      <c r="Z24" s="180">
        <f t="shared" ref="Z24" si="5">X24+Y24</f>
        <v>118462</v>
      </c>
      <c r="AA24" s="249">
        <f t="shared" ref="AA24:AC24" si="6">U24/R24%</f>
        <v>3.0271503171205056</v>
      </c>
      <c r="AB24" s="249">
        <f t="shared" si="6"/>
        <v>6.023409437082047</v>
      </c>
      <c r="AC24" s="249">
        <f t="shared" si="6"/>
        <v>4.3760129659643434</v>
      </c>
      <c r="AD24" s="255">
        <f t="shared" ref="AD24:AF24" si="7">X24/R24%</f>
        <v>40.001867376269651</v>
      </c>
      <c r="AE24" s="255">
        <f t="shared" si="7"/>
        <v>47.635027816015182</v>
      </c>
      <c r="AF24" s="255">
        <f t="shared" si="7"/>
        <v>43.438180658125361</v>
      </c>
    </row>
    <row r="25" spans="1:32" x14ac:dyDescent="0.25">
      <c r="A25" s="247">
        <v>16</v>
      </c>
      <c r="B25" s="43" t="s">
        <v>150</v>
      </c>
      <c r="C25" s="250">
        <v>75888</v>
      </c>
      <c r="D25" s="250">
        <v>66243</v>
      </c>
      <c r="E25" s="250">
        <v>142131</v>
      </c>
      <c r="F25" s="250">
        <v>42856</v>
      </c>
      <c r="G25" s="250">
        <v>39436</v>
      </c>
      <c r="H25" s="250">
        <v>82292</v>
      </c>
      <c r="I25" s="250">
        <v>8379</v>
      </c>
      <c r="J25" s="250">
        <v>7639</v>
      </c>
      <c r="K25" s="250">
        <v>16018</v>
      </c>
      <c r="L25" s="248">
        <v>51235</v>
      </c>
      <c r="M25" s="248">
        <v>47075</v>
      </c>
      <c r="N25" s="250">
        <v>98310</v>
      </c>
      <c r="O25" s="249">
        <v>67.513967952772504</v>
      </c>
      <c r="P25" s="249">
        <v>71.064112434521391</v>
      </c>
      <c r="Q25" s="249">
        <v>69.168583912024815</v>
      </c>
      <c r="R25" s="180">
        <v>51235</v>
      </c>
      <c r="S25" s="180">
        <v>47075</v>
      </c>
      <c r="T25" s="180">
        <v>98310</v>
      </c>
      <c r="U25" s="180">
        <v>6185</v>
      </c>
      <c r="V25" s="180">
        <v>7669</v>
      </c>
      <c r="W25" s="180">
        <v>13854</v>
      </c>
      <c r="X25" s="180">
        <v>16518</v>
      </c>
      <c r="Y25" s="180">
        <v>17016</v>
      </c>
      <c r="Z25" s="180">
        <v>33534</v>
      </c>
      <c r="AA25" s="249">
        <v>12.071825900263491</v>
      </c>
      <c r="AB25" s="249">
        <v>16.291024960169942</v>
      </c>
      <c r="AC25" s="249">
        <v>14.092157461092462</v>
      </c>
      <c r="AD25" s="255">
        <v>32.239679906314045</v>
      </c>
      <c r="AE25" s="255">
        <v>36.146574614976103</v>
      </c>
      <c r="AF25" s="255">
        <v>34.110466890448578</v>
      </c>
    </row>
    <row r="26" spans="1:32" x14ac:dyDescent="0.25">
      <c r="A26" s="253">
        <v>17</v>
      </c>
      <c r="B26" s="43" t="s">
        <v>151</v>
      </c>
      <c r="C26" s="250">
        <v>136322</v>
      </c>
      <c r="D26" s="250">
        <v>109973</v>
      </c>
      <c r="E26" s="250">
        <v>246295</v>
      </c>
      <c r="F26" s="250">
        <v>66482</v>
      </c>
      <c r="G26" s="250">
        <v>53596</v>
      </c>
      <c r="H26" s="250">
        <v>120078</v>
      </c>
      <c r="I26" s="250">
        <v>25028</v>
      </c>
      <c r="J26" s="250">
        <v>20222</v>
      </c>
      <c r="K26" s="250">
        <v>45250</v>
      </c>
      <c r="L26" s="248">
        <v>91510</v>
      </c>
      <c r="M26" s="248">
        <v>73818</v>
      </c>
      <c r="N26" s="250">
        <v>165328</v>
      </c>
      <c r="O26" s="249">
        <v>67.127829697334249</v>
      </c>
      <c r="P26" s="249">
        <v>67.123748556463852</v>
      </c>
      <c r="Q26" s="249">
        <v>67.126007430114299</v>
      </c>
      <c r="R26" s="180">
        <v>91510</v>
      </c>
      <c r="S26" s="180">
        <v>73818</v>
      </c>
      <c r="T26" s="180">
        <v>165328</v>
      </c>
      <c r="U26" s="108"/>
      <c r="V26" s="108"/>
      <c r="W26" s="108">
        <v>0</v>
      </c>
      <c r="X26" s="108"/>
      <c r="Y26" s="108"/>
      <c r="Z26" s="108"/>
      <c r="AA26" s="251"/>
      <c r="AB26" s="251"/>
      <c r="AC26" s="251"/>
      <c r="AD26" s="252"/>
      <c r="AE26" s="252"/>
      <c r="AF26" s="252"/>
    </row>
    <row r="27" spans="1:32" x14ac:dyDescent="0.25">
      <c r="A27" s="247">
        <v>18</v>
      </c>
      <c r="B27" s="43" t="s">
        <v>152</v>
      </c>
      <c r="C27" s="250">
        <v>243171</v>
      </c>
      <c r="D27" s="250">
        <v>234148</v>
      </c>
      <c r="E27" s="250">
        <v>477319</v>
      </c>
      <c r="F27" s="250">
        <v>188952</v>
      </c>
      <c r="G27" s="250">
        <v>170687</v>
      </c>
      <c r="H27" s="250">
        <v>359639</v>
      </c>
      <c r="I27" s="250">
        <v>3839</v>
      </c>
      <c r="J27" s="250">
        <v>5995</v>
      </c>
      <c r="K27" s="250">
        <v>9834</v>
      </c>
      <c r="L27" s="248">
        <v>192791</v>
      </c>
      <c r="M27" s="248">
        <v>176682</v>
      </c>
      <c r="N27" s="250">
        <v>369473</v>
      </c>
      <c r="O27" s="249">
        <v>79.282068996714244</v>
      </c>
      <c r="P27" s="249">
        <v>75.457403010062009</v>
      </c>
      <c r="Q27" s="249">
        <v>77.405885791263287</v>
      </c>
      <c r="R27" s="180">
        <v>192791</v>
      </c>
      <c r="S27" s="180">
        <v>176682</v>
      </c>
      <c r="T27" s="180">
        <v>369473</v>
      </c>
      <c r="U27" s="32">
        <v>11334</v>
      </c>
      <c r="V27" s="32">
        <v>8107</v>
      </c>
      <c r="W27" s="32">
        <v>19441</v>
      </c>
      <c r="X27" s="32">
        <v>50729</v>
      </c>
      <c r="Y27" s="32">
        <v>42557</v>
      </c>
      <c r="Z27" s="32">
        <v>93286</v>
      </c>
      <c r="AA27" s="181">
        <v>5.8789051356131763</v>
      </c>
      <c r="AB27" s="181">
        <v>4.5884696799900384</v>
      </c>
      <c r="AC27" s="181">
        <v>5.2618188609181189</v>
      </c>
      <c r="AD27" s="259">
        <v>26.312950293322821</v>
      </c>
      <c r="AE27" s="259">
        <v>24.086777374039237</v>
      </c>
      <c r="AF27" s="259">
        <v>25.248394334633382</v>
      </c>
    </row>
    <row r="28" spans="1:32" ht="28.5" x14ac:dyDescent="0.25">
      <c r="A28" s="253">
        <v>19</v>
      </c>
      <c r="B28" s="27" t="s">
        <v>285</v>
      </c>
      <c r="C28" s="250">
        <v>432568</v>
      </c>
      <c r="D28" s="250">
        <v>381033</v>
      </c>
      <c r="E28" s="250">
        <v>813601</v>
      </c>
      <c r="F28" s="250">
        <v>335207</v>
      </c>
      <c r="G28" s="250">
        <v>325795</v>
      </c>
      <c r="H28" s="250">
        <v>661002</v>
      </c>
      <c r="I28" s="250">
        <v>38778</v>
      </c>
      <c r="J28" s="250">
        <v>22250</v>
      </c>
      <c r="K28" s="250">
        <v>61028</v>
      </c>
      <c r="L28" s="248">
        <v>373985</v>
      </c>
      <c r="M28" s="248">
        <v>348045</v>
      </c>
      <c r="N28" s="250">
        <v>722030</v>
      </c>
      <c r="O28" s="249">
        <v>86.456927003384436</v>
      </c>
      <c r="P28" s="249">
        <v>91.342482147215591</v>
      </c>
      <c r="Q28" s="249">
        <v>88.744974502243736</v>
      </c>
      <c r="R28" s="32">
        <f t="shared" ref="R28:T28" si="8">L28</f>
        <v>373985</v>
      </c>
      <c r="S28" s="32">
        <f t="shared" si="8"/>
        <v>348045</v>
      </c>
      <c r="T28" s="32">
        <f t="shared" si="8"/>
        <v>722030</v>
      </c>
      <c r="U28" s="260">
        <v>56040</v>
      </c>
      <c r="V28" s="260">
        <v>73998</v>
      </c>
      <c r="W28" s="32">
        <f t="shared" ref="W28" si="9">U28+V28</f>
        <v>130038</v>
      </c>
      <c r="X28" s="260">
        <v>85860</v>
      </c>
      <c r="Y28" s="260">
        <v>96176</v>
      </c>
      <c r="Z28" s="32">
        <f t="shared" ref="Z28" si="10">X28+Y28</f>
        <v>182036</v>
      </c>
      <c r="AA28" s="181">
        <f t="shared" ref="AA28:AC28" si="11">U28/R28%</f>
        <v>14.984558204206051</v>
      </c>
      <c r="AB28" s="181">
        <f t="shared" si="11"/>
        <v>21.261043830539155</v>
      </c>
      <c r="AC28" s="181">
        <f t="shared" si="11"/>
        <v>18.010054983864936</v>
      </c>
      <c r="AD28" s="259">
        <f t="shared" ref="AD28:AF28" si="12">X28/R28%</f>
        <v>22.95814003235424</v>
      </c>
      <c r="AE28" s="259">
        <f t="shared" si="12"/>
        <v>27.633208349495039</v>
      </c>
      <c r="AF28" s="259">
        <f t="shared" si="12"/>
        <v>25.211694804925003</v>
      </c>
    </row>
    <row r="29" spans="1:32" x14ac:dyDescent="0.25">
      <c r="A29" s="247">
        <v>20</v>
      </c>
      <c r="B29" s="43" t="s">
        <v>286</v>
      </c>
      <c r="C29" s="250">
        <v>227855</v>
      </c>
      <c r="D29" s="250">
        <v>219827</v>
      </c>
      <c r="E29" s="250">
        <v>447682</v>
      </c>
      <c r="F29" s="250">
        <v>215457</v>
      </c>
      <c r="G29" s="250">
        <v>212332</v>
      </c>
      <c r="H29" s="250">
        <v>427789</v>
      </c>
      <c r="I29" s="254"/>
      <c r="J29" s="254"/>
      <c r="K29" s="254"/>
      <c r="L29" s="248">
        <v>215457</v>
      </c>
      <c r="M29" s="248">
        <v>212332</v>
      </c>
      <c r="N29" s="250">
        <v>427789</v>
      </c>
      <c r="O29" s="249">
        <v>94.5588203023853</v>
      </c>
      <c r="P29" s="249">
        <v>96.590500711923468</v>
      </c>
      <c r="Q29" s="249">
        <v>95.556444083076826</v>
      </c>
      <c r="R29" s="180">
        <v>215457</v>
      </c>
      <c r="S29" s="180">
        <v>212332</v>
      </c>
      <c r="T29" s="180">
        <v>427789</v>
      </c>
      <c r="U29" s="108"/>
      <c r="V29" s="108"/>
      <c r="W29" s="108"/>
      <c r="X29" s="108"/>
      <c r="Y29" s="108"/>
      <c r="Z29" s="108"/>
      <c r="AA29" s="251"/>
      <c r="AB29" s="251"/>
      <c r="AC29" s="251"/>
      <c r="AD29" s="252"/>
      <c r="AE29" s="252"/>
      <c r="AF29" s="252"/>
    </row>
    <row r="30" spans="1:32" ht="42.75" x14ac:dyDescent="0.25">
      <c r="A30" s="253">
        <v>21</v>
      </c>
      <c r="B30" s="43" t="s">
        <v>271</v>
      </c>
      <c r="C30" s="250">
        <v>960361</v>
      </c>
      <c r="D30" s="250">
        <v>757928</v>
      </c>
      <c r="E30" s="250">
        <v>1718289</v>
      </c>
      <c r="F30" s="250">
        <v>755982</v>
      </c>
      <c r="G30" s="250">
        <v>650816</v>
      </c>
      <c r="H30" s="250">
        <v>1406798</v>
      </c>
      <c r="I30" s="250">
        <v>26354</v>
      </c>
      <c r="J30" s="250">
        <v>13632</v>
      </c>
      <c r="K30" s="250">
        <v>39986</v>
      </c>
      <c r="L30" s="248">
        <v>782336</v>
      </c>
      <c r="M30" s="248">
        <v>664448</v>
      </c>
      <c r="N30" s="250">
        <v>1446784</v>
      </c>
      <c r="O30" s="249">
        <v>81.462699963867763</v>
      </c>
      <c r="P30" s="249">
        <v>87.666374642446243</v>
      </c>
      <c r="Q30" s="249">
        <v>84.199107367852548</v>
      </c>
      <c r="R30" s="180">
        <f>L30</f>
        <v>782336</v>
      </c>
      <c r="S30" s="180">
        <f t="shared" ref="S30:T30" si="13">M30</f>
        <v>664448</v>
      </c>
      <c r="T30" s="180">
        <f t="shared" si="13"/>
        <v>1446784</v>
      </c>
      <c r="U30" s="180">
        <v>150719</v>
      </c>
      <c r="V30" s="180">
        <v>169847</v>
      </c>
      <c r="W30" s="180">
        <v>320566</v>
      </c>
      <c r="X30" s="180">
        <v>261724</v>
      </c>
      <c r="Y30" s="180">
        <v>247651</v>
      </c>
      <c r="Z30" s="180">
        <v>509375</v>
      </c>
      <c r="AA30" s="249">
        <v>19.265350260503215</v>
      </c>
      <c r="AB30" s="249">
        <v>25.562159209086651</v>
      </c>
      <c r="AC30" s="249">
        <v>22.157219589170147</v>
      </c>
      <c r="AD30" s="255">
        <v>33.454339078549772</v>
      </c>
      <c r="AE30" s="255">
        <v>37.271746279236716</v>
      </c>
      <c r="AF30" s="255">
        <v>35.207519600436555</v>
      </c>
    </row>
    <row r="31" spans="1:32" ht="28.5" x14ac:dyDescent="0.25">
      <c r="A31" s="247">
        <v>22</v>
      </c>
      <c r="B31" s="43" t="s">
        <v>272</v>
      </c>
      <c r="C31" s="250">
        <v>603627</v>
      </c>
      <c r="D31" s="250">
        <v>480473</v>
      </c>
      <c r="E31" s="250">
        <v>1084100</v>
      </c>
      <c r="F31" s="250">
        <v>241016</v>
      </c>
      <c r="G31" s="250">
        <v>198543</v>
      </c>
      <c r="H31" s="250">
        <v>439559</v>
      </c>
      <c r="I31" s="250">
        <v>73413</v>
      </c>
      <c r="J31" s="250">
        <v>62355</v>
      </c>
      <c r="K31" s="250">
        <v>135768</v>
      </c>
      <c r="L31" s="248">
        <v>314429</v>
      </c>
      <c r="M31" s="248">
        <v>260898</v>
      </c>
      <c r="N31" s="250">
        <v>575327</v>
      </c>
      <c r="O31" s="249">
        <v>52.089949588073424</v>
      </c>
      <c r="P31" s="249">
        <v>54.30024163688698</v>
      </c>
      <c r="Q31" s="249">
        <v>53.069550779448392</v>
      </c>
      <c r="R31" s="180">
        <v>314429</v>
      </c>
      <c r="S31" s="180">
        <v>260898</v>
      </c>
      <c r="T31" s="180">
        <v>575327</v>
      </c>
      <c r="U31" s="180">
        <v>26186</v>
      </c>
      <c r="V31" s="180">
        <v>24289</v>
      </c>
      <c r="W31" s="180">
        <v>50475</v>
      </c>
      <c r="X31" s="180">
        <v>71890</v>
      </c>
      <c r="Y31" s="180">
        <v>61803</v>
      </c>
      <c r="Z31" s="180">
        <v>133693</v>
      </c>
      <c r="AA31" s="249">
        <v>8.328112228833854</v>
      </c>
      <c r="AB31" s="249">
        <v>9.3097685685593596</v>
      </c>
      <c r="AC31" s="249">
        <v>8.7732715481804249</v>
      </c>
      <c r="AD31" s="255">
        <v>22.863667155383251</v>
      </c>
      <c r="AE31" s="255">
        <v>23.688567946093876</v>
      </c>
      <c r="AF31" s="255">
        <v>23.23774131928451</v>
      </c>
    </row>
    <row r="32" spans="1:32" ht="28.5" x14ac:dyDescent="0.25">
      <c r="A32" s="261">
        <v>23</v>
      </c>
      <c r="B32" s="27" t="s">
        <v>141</v>
      </c>
      <c r="C32" s="250">
        <v>18315</v>
      </c>
      <c r="D32" s="250">
        <v>17575</v>
      </c>
      <c r="E32" s="250">
        <v>35890</v>
      </c>
      <c r="F32" s="250">
        <v>12234</v>
      </c>
      <c r="G32" s="250">
        <v>11047</v>
      </c>
      <c r="H32" s="250">
        <v>23281</v>
      </c>
      <c r="I32" s="227">
        <v>2175</v>
      </c>
      <c r="J32" s="227">
        <v>2465</v>
      </c>
      <c r="K32" s="227">
        <v>4640</v>
      </c>
      <c r="L32" s="248">
        <v>14409</v>
      </c>
      <c r="M32" s="248">
        <v>13512</v>
      </c>
      <c r="N32" s="250">
        <v>27921</v>
      </c>
      <c r="O32" s="249">
        <v>78.67321867321867</v>
      </c>
      <c r="P32" s="181">
        <v>76.881934566145091</v>
      </c>
      <c r="Q32" s="249">
        <v>77.796043466146557</v>
      </c>
      <c r="R32" s="180">
        <f t="shared" ref="R32:T32" si="14">L32</f>
        <v>14409</v>
      </c>
      <c r="S32" s="180">
        <f t="shared" si="14"/>
        <v>13512</v>
      </c>
      <c r="T32" s="180">
        <f t="shared" si="14"/>
        <v>27921</v>
      </c>
      <c r="U32" s="32">
        <v>622</v>
      </c>
      <c r="V32" s="32">
        <v>513</v>
      </c>
      <c r="W32" s="32">
        <f t="shared" ref="W32" si="15">U32+V32</f>
        <v>1135</v>
      </c>
      <c r="X32" s="32">
        <v>4089</v>
      </c>
      <c r="Y32" s="32">
        <v>3573</v>
      </c>
      <c r="Z32" s="32">
        <f t="shared" ref="Z32" si="16">X32+Y32</f>
        <v>7662</v>
      </c>
      <c r="AA32" s="249">
        <f t="shared" ref="AA32:AC32" si="17">U32/R32%</f>
        <v>4.3167464778957596</v>
      </c>
      <c r="AB32" s="249">
        <f t="shared" si="17"/>
        <v>3.7966252220248666</v>
      </c>
      <c r="AC32" s="249">
        <f t="shared" si="17"/>
        <v>4.0650406504065044</v>
      </c>
      <c r="AD32" s="255">
        <f t="shared" ref="AD32:AF32" si="18">X32/R32%</f>
        <v>28.378097022694149</v>
      </c>
      <c r="AE32" s="255">
        <f t="shared" si="18"/>
        <v>26.443161634103017</v>
      </c>
      <c r="AF32" s="255">
        <f t="shared" si="18"/>
        <v>27.441710540453425</v>
      </c>
    </row>
    <row r="33" spans="1:32" x14ac:dyDescent="0.25">
      <c r="A33" s="247">
        <v>24</v>
      </c>
      <c r="B33" s="43" t="s">
        <v>158</v>
      </c>
      <c r="C33" s="250">
        <v>19814</v>
      </c>
      <c r="D33" s="250">
        <v>22993</v>
      </c>
      <c r="E33" s="250">
        <v>42807</v>
      </c>
      <c r="F33" s="250">
        <v>10590</v>
      </c>
      <c r="G33" s="250">
        <v>12659</v>
      </c>
      <c r="H33" s="250">
        <v>23249</v>
      </c>
      <c r="I33" s="254"/>
      <c r="J33" s="254"/>
      <c r="K33" s="254"/>
      <c r="L33" s="248">
        <v>10590</v>
      </c>
      <c r="M33" s="248">
        <v>12659</v>
      </c>
      <c r="N33" s="250">
        <v>23249</v>
      </c>
      <c r="O33" s="249">
        <v>53.447057636014939</v>
      </c>
      <c r="P33" s="249">
        <v>55.05588657417475</v>
      </c>
      <c r="Q33" s="249">
        <v>54.311210783283101</v>
      </c>
      <c r="R33" s="180">
        <v>10590</v>
      </c>
      <c r="S33" s="180">
        <v>12659</v>
      </c>
      <c r="T33" s="180">
        <v>23249</v>
      </c>
      <c r="U33" s="180">
        <v>1890</v>
      </c>
      <c r="V33" s="180">
        <v>2253</v>
      </c>
      <c r="W33" s="180">
        <v>4143</v>
      </c>
      <c r="X33" s="180">
        <v>3091</v>
      </c>
      <c r="Y33" s="180">
        <v>3816</v>
      </c>
      <c r="Z33" s="180">
        <v>6907</v>
      </c>
      <c r="AA33" s="249">
        <v>17.847025495750707</v>
      </c>
      <c r="AB33" s="249">
        <v>17.797614345524924</v>
      </c>
      <c r="AC33" s="249">
        <v>17.820121295539593</v>
      </c>
      <c r="AD33" s="255">
        <v>29.187913125590178</v>
      </c>
      <c r="AE33" s="255">
        <v>30.144561181767912</v>
      </c>
      <c r="AF33" s="255">
        <v>29.708804679771173</v>
      </c>
    </row>
    <row r="34" spans="1:32" x14ac:dyDescent="0.25">
      <c r="A34" s="253">
        <v>25</v>
      </c>
      <c r="B34" s="27" t="s">
        <v>159</v>
      </c>
      <c r="C34" s="250">
        <v>8933</v>
      </c>
      <c r="D34" s="250">
        <v>9441</v>
      </c>
      <c r="E34" s="250">
        <v>18374</v>
      </c>
      <c r="F34" s="250">
        <v>6154</v>
      </c>
      <c r="G34" s="250">
        <v>6297</v>
      </c>
      <c r="H34" s="250">
        <v>12451</v>
      </c>
      <c r="I34" s="227">
        <v>66</v>
      </c>
      <c r="J34" s="227">
        <v>83</v>
      </c>
      <c r="K34" s="227">
        <v>149</v>
      </c>
      <c r="L34" s="248">
        <v>6220</v>
      </c>
      <c r="M34" s="248">
        <v>6380</v>
      </c>
      <c r="N34" s="250">
        <v>12600</v>
      </c>
      <c r="O34" s="249">
        <v>69.629463785962159</v>
      </c>
      <c r="P34" s="249">
        <v>67.577587120008474</v>
      </c>
      <c r="Q34" s="249">
        <v>68.575160552955268</v>
      </c>
      <c r="R34" s="180">
        <f t="shared" ref="R34:T34" si="19">L34</f>
        <v>6220</v>
      </c>
      <c r="S34" s="180">
        <f t="shared" si="19"/>
        <v>6380</v>
      </c>
      <c r="T34" s="180">
        <f t="shared" si="19"/>
        <v>12600</v>
      </c>
      <c r="U34" s="32">
        <v>201</v>
      </c>
      <c r="V34" s="32">
        <v>229</v>
      </c>
      <c r="W34" s="180">
        <f t="shared" ref="W34" si="20">U34+V34</f>
        <v>430</v>
      </c>
      <c r="X34" s="32">
        <v>958</v>
      </c>
      <c r="Y34" s="32">
        <v>1000</v>
      </c>
      <c r="Z34" s="180">
        <f t="shared" ref="Z34" si="21">X34+Y34</f>
        <v>1958</v>
      </c>
      <c r="AA34" s="249">
        <f t="shared" ref="AA34:AC34" si="22">U34/R34%</f>
        <v>3.2315112540192925</v>
      </c>
      <c r="AB34" s="249">
        <f t="shared" si="22"/>
        <v>3.5893416927899686</v>
      </c>
      <c r="AC34" s="249">
        <f t="shared" si="22"/>
        <v>3.4126984126984126</v>
      </c>
      <c r="AD34" s="255">
        <f t="shared" ref="AD34:AF34" si="23">X34/R34%</f>
        <v>15.40192926045016</v>
      </c>
      <c r="AE34" s="255">
        <f t="shared" si="23"/>
        <v>15.673981191222571</v>
      </c>
      <c r="AF34" s="255">
        <f t="shared" si="23"/>
        <v>15.53968253968254</v>
      </c>
    </row>
    <row r="35" spans="1:32" x14ac:dyDescent="0.25">
      <c r="A35" s="247">
        <v>26</v>
      </c>
      <c r="B35" s="43" t="s">
        <v>160</v>
      </c>
      <c r="C35" s="250">
        <v>10836</v>
      </c>
      <c r="D35" s="250">
        <v>10842</v>
      </c>
      <c r="E35" s="250">
        <v>21678</v>
      </c>
      <c r="F35" s="250">
        <v>7221</v>
      </c>
      <c r="G35" s="250">
        <v>6910</v>
      </c>
      <c r="H35" s="250">
        <v>14131</v>
      </c>
      <c r="I35" s="254"/>
      <c r="J35" s="254"/>
      <c r="K35" s="254"/>
      <c r="L35" s="248">
        <v>7221</v>
      </c>
      <c r="M35" s="248">
        <v>6910</v>
      </c>
      <c r="N35" s="250">
        <v>14131</v>
      </c>
      <c r="O35" s="249">
        <v>66.638981173864892</v>
      </c>
      <c r="P35" s="249">
        <v>63.733628481829918</v>
      </c>
      <c r="Q35" s="249">
        <v>65.185902758557063</v>
      </c>
      <c r="R35" s="180">
        <v>7221</v>
      </c>
      <c r="S35" s="180">
        <v>6910</v>
      </c>
      <c r="T35" s="180">
        <v>14131</v>
      </c>
      <c r="U35" s="180">
        <v>510</v>
      </c>
      <c r="V35" s="180">
        <v>612</v>
      </c>
      <c r="W35" s="180">
        <v>1122</v>
      </c>
      <c r="X35" s="180">
        <v>1862</v>
      </c>
      <c r="Y35" s="180">
        <v>1931</v>
      </c>
      <c r="Z35" s="180">
        <v>3793</v>
      </c>
      <c r="AA35" s="249">
        <v>7.062733693394267</v>
      </c>
      <c r="AB35" s="249">
        <v>8.8567293777134601</v>
      </c>
      <c r="AC35" s="249">
        <v>7.9399900927039839</v>
      </c>
      <c r="AD35" s="255">
        <v>25.785902229608091</v>
      </c>
      <c r="AE35" s="255">
        <v>27.945007235890017</v>
      </c>
      <c r="AF35" s="255">
        <v>26.841695562946711</v>
      </c>
    </row>
    <row r="36" spans="1:32" x14ac:dyDescent="0.25">
      <c r="A36" s="253">
        <v>27</v>
      </c>
      <c r="B36" s="43" t="s">
        <v>273</v>
      </c>
      <c r="C36" s="250">
        <v>295462</v>
      </c>
      <c r="D36" s="250">
        <v>297407</v>
      </c>
      <c r="E36" s="250">
        <v>592869</v>
      </c>
      <c r="F36" s="250">
        <v>242462</v>
      </c>
      <c r="G36" s="250">
        <v>244849</v>
      </c>
      <c r="H36" s="250">
        <v>487311</v>
      </c>
      <c r="I36" s="250">
        <v>3064</v>
      </c>
      <c r="J36" s="250">
        <v>2079</v>
      </c>
      <c r="K36" s="250">
        <v>5143</v>
      </c>
      <c r="L36" s="248">
        <v>245526</v>
      </c>
      <c r="M36" s="248">
        <v>246928</v>
      </c>
      <c r="N36" s="250">
        <v>492454</v>
      </c>
      <c r="O36" s="249">
        <v>83.099011040336819</v>
      </c>
      <c r="P36" s="249">
        <v>83.026963050634322</v>
      </c>
      <c r="Q36" s="249">
        <v>83.062868863104669</v>
      </c>
      <c r="R36" s="180">
        <v>245526</v>
      </c>
      <c r="S36" s="180">
        <v>246928</v>
      </c>
      <c r="T36" s="180">
        <v>492454</v>
      </c>
      <c r="U36" s="108"/>
      <c r="V36" s="108"/>
      <c r="W36" s="108"/>
      <c r="X36" s="108"/>
      <c r="Y36" s="108"/>
      <c r="Z36" s="108"/>
      <c r="AA36" s="251"/>
      <c r="AB36" s="251"/>
      <c r="AC36" s="251"/>
      <c r="AD36" s="252"/>
      <c r="AE36" s="252"/>
      <c r="AF36" s="252"/>
    </row>
    <row r="37" spans="1:32" x14ac:dyDescent="0.25">
      <c r="A37" s="247">
        <v>28</v>
      </c>
      <c r="B37" s="43" t="s">
        <v>162</v>
      </c>
      <c r="C37" s="250">
        <v>219685</v>
      </c>
      <c r="D37" s="250">
        <v>163816</v>
      </c>
      <c r="E37" s="250">
        <v>383501</v>
      </c>
      <c r="F37" s="250">
        <v>142866</v>
      </c>
      <c r="G37" s="250">
        <v>128359</v>
      </c>
      <c r="H37" s="250">
        <v>271225</v>
      </c>
      <c r="I37" s="254"/>
      <c r="J37" s="254"/>
      <c r="K37" s="254"/>
      <c r="L37" s="248">
        <v>142866</v>
      </c>
      <c r="M37" s="248">
        <v>128359</v>
      </c>
      <c r="N37" s="250">
        <v>271225</v>
      </c>
      <c r="O37" s="249">
        <v>65.032205202904152</v>
      </c>
      <c r="P37" s="249">
        <v>78.355594081164242</v>
      </c>
      <c r="Q37" s="249">
        <v>70.723414019780918</v>
      </c>
      <c r="R37" s="180">
        <v>142866</v>
      </c>
      <c r="S37" s="180">
        <v>128359</v>
      </c>
      <c r="T37" s="180">
        <v>271225</v>
      </c>
      <c r="U37" s="180">
        <v>15877</v>
      </c>
      <c r="V37" s="180">
        <v>30354</v>
      </c>
      <c r="W37" s="180">
        <v>46231</v>
      </c>
      <c r="X37" s="180">
        <v>56079</v>
      </c>
      <c r="Y37" s="180">
        <v>56562</v>
      </c>
      <c r="Z37" s="180">
        <v>112641</v>
      </c>
      <c r="AA37" s="249">
        <v>11.113210980919183</v>
      </c>
      <c r="AB37" s="249">
        <v>23.64773798487056</v>
      </c>
      <c r="AC37" s="249">
        <v>17.045257627431099</v>
      </c>
      <c r="AD37" s="255">
        <v>39.252866322288014</v>
      </c>
      <c r="AE37" s="255">
        <v>44.065472619761763</v>
      </c>
      <c r="AF37" s="255">
        <v>41.530463637201585</v>
      </c>
    </row>
    <row r="38" spans="1:32" ht="28.5" x14ac:dyDescent="0.25">
      <c r="A38" s="253">
        <v>29</v>
      </c>
      <c r="B38" s="43" t="s">
        <v>212</v>
      </c>
      <c r="C38" s="250">
        <v>652675</v>
      </c>
      <c r="D38" s="250">
        <v>451651</v>
      </c>
      <c r="E38" s="250">
        <v>1104326</v>
      </c>
      <c r="F38" s="250">
        <v>435246</v>
      </c>
      <c r="G38" s="250">
        <v>298730</v>
      </c>
      <c r="H38" s="250">
        <v>733976</v>
      </c>
      <c r="I38" s="250">
        <v>20171</v>
      </c>
      <c r="J38" s="250">
        <v>19638</v>
      </c>
      <c r="K38" s="250">
        <v>39809</v>
      </c>
      <c r="L38" s="248">
        <v>455417</v>
      </c>
      <c r="M38" s="248">
        <v>318368</v>
      </c>
      <c r="N38" s="250">
        <v>773785</v>
      </c>
      <c r="O38" s="249">
        <v>69.776994675757464</v>
      </c>
      <c r="P38" s="249">
        <v>70.489825108324794</v>
      </c>
      <c r="Q38" s="249">
        <v>70.068530488279734</v>
      </c>
      <c r="R38" s="180">
        <v>455417</v>
      </c>
      <c r="S38" s="180">
        <v>318368</v>
      </c>
      <c r="T38" s="180">
        <v>773785</v>
      </c>
      <c r="U38" s="108"/>
      <c r="V38" s="108"/>
      <c r="W38" s="108"/>
      <c r="X38" s="108"/>
      <c r="Y38" s="108"/>
      <c r="Z38" s="108"/>
      <c r="AA38" s="251"/>
      <c r="AB38" s="251"/>
      <c r="AC38" s="251"/>
      <c r="AD38" s="252"/>
      <c r="AE38" s="252"/>
      <c r="AF38" s="252"/>
    </row>
    <row r="39" spans="1:32" ht="28.5" x14ac:dyDescent="0.25">
      <c r="A39" s="247">
        <v>30</v>
      </c>
      <c r="B39" s="43" t="s">
        <v>274</v>
      </c>
      <c r="C39" s="250">
        <v>518639</v>
      </c>
      <c r="D39" s="250">
        <v>502110</v>
      </c>
      <c r="E39" s="250">
        <v>1020749</v>
      </c>
      <c r="F39" s="250">
        <v>456328</v>
      </c>
      <c r="G39" s="250">
        <v>469810</v>
      </c>
      <c r="H39" s="250">
        <v>926138</v>
      </c>
      <c r="I39" s="254"/>
      <c r="J39" s="254"/>
      <c r="K39" s="254"/>
      <c r="L39" s="248">
        <v>456328</v>
      </c>
      <c r="M39" s="248">
        <v>469810</v>
      </c>
      <c r="N39" s="250">
        <v>926138</v>
      </c>
      <c r="O39" s="249">
        <v>87.985670186777327</v>
      </c>
      <c r="P39" s="249">
        <v>93.567146641174247</v>
      </c>
      <c r="Q39" s="249">
        <v>90.731217958577474</v>
      </c>
      <c r="R39" s="180">
        <v>456328</v>
      </c>
      <c r="S39" s="180">
        <v>469810</v>
      </c>
      <c r="T39" s="180">
        <v>926138</v>
      </c>
      <c r="U39" s="180">
        <v>194594</v>
      </c>
      <c r="V39" s="180">
        <v>257212</v>
      </c>
      <c r="W39" s="180">
        <v>451806</v>
      </c>
      <c r="X39" s="180">
        <v>133899</v>
      </c>
      <c r="Y39" s="180">
        <v>124305</v>
      </c>
      <c r="Z39" s="180">
        <v>258204</v>
      </c>
      <c r="AA39" s="249">
        <v>42.643449448642208</v>
      </c>
      <c r="AB39" s="249">
        <v>54.748089653264081</v>
      </c>
      <c r="AC39" s="249">
        <v>48.783874541375049</v>
      </c>
      <c r="AD39" s="255">
        <v>29.342709629915326</v>
      </c>
      <c r="AE39" s="255">
        <v>26.458568357421083</v>
      </c>
      <c r="AF39" s="255">
        <v>27.879646445778061</v>
      </c>
    </row>
    <row r="40" spans="1:32" ht="28.5" x14ac:dyDescent="0.25">
      <c r="A40" s="253">
        <v>31</v>
      </c>
      <c r="B40" s="43" t="s">
        <v>165</v>
      </c>
      <c r="C40" s="250">
        <v>24240</v>
      </c>
      <c r="D40" s="250">
        <v>22631</v>
      </c>
      <c r="E40" s="250">
        <v>46871</v>
      </c>
      <c r="F40" s="250">
        <v>14414</v>
      </c>
      <c r="G40" s="250">
        <v>12907</v>
      </c>
      <c r="H40" s="250">
        <v>27321</v>
      </c>
      <c r="I40" s="254"/>
      <c r="J40" s="254"/>
      <c r="K40" s="254"/>
      <c r="L40" s="248">
        <v>14414</v>
      </c>
      <c r="M40" s="248">
        <v>12907</v>
      </c>
      <c r="N40" s="250">
        <v>27321</v>
      </c>
      <c r="O40" s="249">
        <v>59.463696369636963</v>
      </c>
      <c r="P40" s="249">
        <v>57.032389200653967</v>
      </c>
      <c r="Q40" s="249">
        <v>58.289774060719843</v>
      </c>
      <c r="R40" s="180">
        <v>14414</v>
      </c>
      <c r="S40" s="180">
        <v>12907</v>
      </c>
      <c r="T40" s="180">
        <v>27321</v>
      </c>
      <c r="U40" s="180">
        <v>446</v>
      </c>
      <c r="V40" s="180">
        <v>349</v>
      </c>
      <c r="W40" s="180">
        <v>795</v>
      </c>
      <c r="X40" s="180">
        <v>1174</v>
      </c>
      <c r="Y40" s="180">
        <v>845</v>
      </c>
      <c r="Z40" s="180">
        <v>2019</v>
      </c>
      <c r="AA40" s="249">
        <v>3.0942139586513115</v>
      </c>
      <c r="AB40" s="249">
        <v>2.7039590919656002</v>
      </c>
      <c r="AC40" s="249">
        <v>2.9098495662677064</v>
      </c>
      <c r="AD40" s="255">
        <v>8.1448591647009856</v>
      </c>
      <c r="AE40" s="255">
        <v>6.5468350507476565</v>
      </c>
      <c r="AF40" s="255">
        <v>7.3899198418798733</v>
      </c>
    </row>
    <row r="41" spans="1:32" ht="28.5" x14ac:dyDescent="0.25">
      <c r="A41" s="247">
        <v>32</v>
      </c>
      <c r="B41" s="43" t="s">
        <v>275</v>
      </c>
      <c r="C41" s="250">
        <v>1863463</v>
      </c>
      <c r="D41" s="250">
        <v>1525291</v>
      </c>
      <c r="E41" s="250">
        <v>3388754</v>
      </c>
      <c r="F41" s="250">
        <v>1503469</v>
      </c>
      <c r="G41" s="250">
        <v>1368272</v>
      </c>
      <c r="H41" s="250">
        <v>2871741</v>
      </c>
      <c r="I41" s="254"/>
      <c r="J41" s="254"/>
      <c r="K41" s="254"/>
      <c r="L41" s="248">
        <v>1503469</v>
      </c>
      <c r="M41" s="248">
        <v>1368272</v>
      </c>
      <c r="N41" s="250">
        <v>2871741</v>
      </c>
      <c r="O41" s="249">
        <v>80.681451684310346</v>
      </c>
      <c r="P41" s="249">
        <v>89.705636498215739</v>
      </c>
      <c r="Q41" s="249">
        <v>84.743271420705071</v>
      </c>
      <c r="R41" s="180">
        <v>1503469</v>
      </c>
      <c r="S41" s="180">
        <v>1368272</v>
      </c>
      <c r="T41" s="180">
        <v>2871741</v>
      </c>
      <c r="U41" s="180">
        <v>342852</v>
      </c>
      <c r="V41" s="180">
        <v>413837</v>
      </c>
      <c r="W41" s="180">
        <v>756689</v>
      </c>
      <c r="X41" s="180">
        <v>836159</v>
      </c>
      <c r="Y41" s="180">
        <v>769572</v>
      </c>
      <c r="Z41" s="180">
        <v>1605731</v>
      </c>
      <c r="AA41" s="249">
        <v>22.80406180639574</v>
      </c>
      <c r="AB41" s="249">
        <v>30.245229018791587</v>
      </c>
      <c r="AC41" s="249">
        <v>26.349486252416217</v>
      </c>
      <c r="AD41" s="255">
        <v>55.615313651295772</v>
      </c>
      <c r="AE41" s="255">
        <v>56.24408012441971</v>
      </c>
      <c r="AF41" s="255">
        <v>55.914896224972935</v>
      </c>
    </row>
    <row r="42" spans="1:32" ht="28.5" x14ac:dyDescent="0.25">
      <c r="A42" s="253">
        <v>33</v>
      </c>
      <c r="B42" s="43" t="s">
        <v>287</v>
      </c>
      <c r="C42" s="250">
        <v>88043</v>
      </c>
      <c r="D42" s="250">
        <v>82358</v>
      </c>
      <c r="E42" s="250">
        <v>170401</v>
      </c>
      <c r="F42" s="250">
        <v>54178</v>
      </c>
      <c r="G42" s="250">
        <v>60673</v>
      </c>
      <c r="H42" s="250">
        <v>114851</v>
      </c>
      <c r="I42" s="254"/>
      <c r="J42" s="254"/>
      <c r="K42" s="254"/>
      <c r="L42" s="248">
        <v>54178</v>
      </c>
      <c r="M42" s="248">
        <v>60673</v>
      </c>
      <c r="N42" s="250">
        <v>114851</v>
      </c>
      <c r="O42" s="249">
        <v>61.535840441602396</v>
      </c>
      <c r="P42" s="249">
        <v>73.669831710337803</v>
      </c>
      <c r="Q42" s="249">
        <v>67.40042605383772</v>
      </c>
      <c r="R42" s="180">
        <v>54178</v>
      </c>
      <c r="S42" s="180">
        <v>60673</v>
      </c>
      <c r="T42" s="180">
        <v>114851</v>
      </c>
      <c r="U42" s="180">
        <v>2307</v>
      </c>
      <c r="V42" s="180">
        <v>1835</v>
      </c>
      <c r="W42" s="180">
        <v>4142</v>
      </c>
      <c r="X42" s="180">
        <v>9712</v>
      </c>
      <c r="Y42" s="180">
        <v>14098</v>
      </c>
      <c r="Z42" s="180">
        <v>23810</v>
      </c>
      <c r="AA42" s="249">
        <v>4.2581859795488946</v>
      </c>
      <c r="AB42" s="249">
        <v>3.0244095396634418</v>
      </c>
      <c r="AC42" s="249">
        <v>3.6064117857049567</v>
      </c>
      <c r="AD42" s="255">
        <v>17.926095463103106</v>
      </c>
      <c r="AE42" s="255">
        <v>23.236035798460598</v>
      </c>
      <c r="AF42" s="255">
        <v>20.731208261138345</v>
      </c>
    </row>
    <row r="43" spans="1:32" ht="28.5" x14ac:dyDescent="0.25">
      <c r="A43" s="247">
        <v>34</v>
      </c>
      <c r="B43" s="43" t="s">
        <v>172</v>
      </c>
      <c r="C43" s="250">
        <v>489584</v>
      </c>
      <c r="D43" s="250">
        <v>553155</v>
      </c>
      <c r="E43" s="250">
        <v>1042739</v>
      </c>
      <c r="F43" s="250">
        <v>412332</v>
      </c>
      <c r="G43" s="250">
        <v>425541</v>
      </c>
      <c r="H43" s="250">
        <v>837873</v>
      </c>
      <c r="I43" s="254"/>
      <c r="J43" s="254"/>
      <c r="K43" s="254"/>
      <c r="L43" s="248">
        <v>412332</v>
      </c>
      <c r="M43" s="248">
        <v>425541</v>
      </c>
      <c r="N43" s="250">
        <v>837873</v>
      </c>
      <c r="O43" s="249">
        <v>84.220889571554622</v>
      </c>
      <c r="P43" s="249">
        <v>76.929793638311139</v>
      </c>
      <c r="Q43" s="249">
        <v>80.353089315734806</v>
      </c>
      <c r="R43" s="180">
        <v>412332</v>
      </c>
      <c r="S43" s="180">
        <v>425541</v>
      </c>
      <c r="T43" s="180">
        <v>837873</v>
      </c>
      <c r="U43" s="180">
        <v>26357</v>
      </c>
      <c r="V43" s="180">
        <v>18379</v>
      </c>
      <c r="W43" s="180">
        <v>44736</v>
      </c>
      <c r="X43" s="180">
        <v>37160</v>
      </c>
      <c r="Y43" s="180">
        <v>31020</v>
      </c>
      <c r="Z43" s="180">
        <v>68180</v>
      </c>
      <c r="AA43" s="249">
        <v>6.3921791177982792</v>
      </c>
      <c r="AB43" s="249">
        <v>4.3189727899309354</v>
      </c>
      <c r="AC43" s="249">
        <v>5.3392339889219489</v>
      </c>
      <c r="AD43" s="255">
        <v>9.0121552535335603</v>
      </c>
      <c r="AE43" s="255">
        <v>7.2895443682277383</v>
      </c>
      <c r="AF43" s="255">
        <v>8.1372714003196194</v>
      </c>
    </row>
    <row r="44" spans="1:32" ht="28.5" x14ac:dyDescent="0.25">
      <c r="A44" s="253">
        <v>35</v>
      </c>
      <c r="B44" s="43" t="s">
        <v>277</v>
      </c>
      <c r="C44" s="250">
        <v>13330</v>
      </c>
      <c r="D44" s="250">
        <v>27711</v>
      </c>
      <c r="E44" s="250">
        <v>41041</v>
      </c>
      <c r="F44" s="250">
        <v>11254</v>
      </c>
      <c r="G44" s="250">
        <v>21001</v>
      </c>
      <c r="H44" s="250">
        <v>32255</v>
      </c>
      <c r="I44" s="254"/>
      <c r="J44" s="254"/>
      <c r="K44" s="254"/>
      <c r="L44" s="248">
        <v>11254</v>
      </c>
      <c r="M44" s="248">
        <v>21001</v>
      </c>
      <c r="N44" s="250">
        <v>32255</v>
      </c>
      <c r="O44" s="249">
        <v>84.426106526631656</v>
      </c>
      <c r="P44" s="249">
        <v>75.785789036844577</v>
      </c>
      <c r="Q44" s="249">
        <v>78.592139567749314</v>
      </c>
      <c r="R44" s="180">
        <v>11254</v>
      </c>
      <c r="S44" s="180">
        <v>21001</v>
      </c>
      <c r="T44" s="180">
        <v>32255</v>
      </c>
      <c r="U44" s="180">
        <v>264</v>
      </c>
      <c r="V44" s="180">
        <v>197</v>
      </c>
      <c r="W44" s="180">
        <v>461</v>
      </c>
      <c r="X44" s="180">
        <v>895</v>
      </c>
      <c r="Y44" s="180">
        <v>994</v>
      </c>
      <c r="Z44" s="180">
        <v>1889</v>
      </c>
      <c r="AA44" s="249">
        <v>2.3458325928558734</v>
      </c>
      <c r="AB44" s="249">
        <v>0.93805056902052286</v>
      </c>
      <c r="AC44" s="249">
        <v>1.4292357773988529</v>
      </c>
      <c r="AD44" s="255">
        <v>7.9527279189621467</v>
      </c>
      <c r="AE44" s="255">
        <v>4.7331079472406081</v>
      </c>
      <c r="AF44" s="255">
        <v>5.8564563633545186</v>
      </c>
    </row>
    <row r="45" spans="1:32" x14ac:dyDescent="0.25">
      <c r="A45" s="527" t="s">
        <v>256</v>
      </c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7"/>
      <c r="V45" s="527"/>
      <c r="W45" s="527"/>
      <c r="X45" s="527"/>
      <c r="Y45" s="527"/>
      <c r="Z45" s="527"/>
      <c r="AA45" s="527"/>
      <c r="AB45" s="527"/>
      <c r="AC45" s="527"/>
      <c r="AD45" s="527"/>
      <c r="AE45" s="527"/>
      <c r="AF45" s="527"/>
    </row>
    <row r="46" spans="1:32" ht="28.5" x14ac:dyDescent="0.25">
      <c r="A46" s="166">
        <v>1</v>
      </c>
      <c r="B46" s="43" t="s">
        <v>280</v>
      </c>
      <c r="C46" s="167">
        <f>90781+99636</f>
        <v>190417</v>
      </c>
      <c r="D46" s="167">
        <f>41725+41772</f>
        <v>83497</v>
      </c>
      <c r="E46" s="168">
        <f t="shared" ref="E46:E51" si="24">C46+D46</f>
        <v>273914</v>
      </c>
      <c r="F46" s="167">
        <v>104822</v>
      </c>
      <c r="G46" s="167">
        <v>45328</v>
      </c>
      <c r="H46" s="168">
        <f t="shared" ref="H46:H50" si="25">F46+G46</f>
        <v>150150</v>
      </c>
      <c r="I46" s="167"/>
      <c r="J46" s="167"/>
      <c r="K46" s="168"/>
      <c r="L46" s="167">
        <v>104822</v>
      </c>
      <c r="M46" s="167">
        <v>45328</v>
      </c>
      <c r="N46" s="168">
        <f t="shared" ref="N46:N50" si="26">L46+M46</f>
        <v>150150</v>
      </c>
      <c r="O46" s="167">
        <f>+L46/C46%</f>
        <v>55.048656369966963</v>
      </c>
      <c r="P46" s="167">
        <f t="shared" ref="P46:Q46" si="27">+M46/D46%</f>
        <v>54.286980370552236</v>
      </c>
      <c r="Q46" s="167">
        <f t="shared" si="27"/>
        <v>54.816475244054708</v>
      </c>
      <c r="R46" s="172">
        <f t="shared" ref="R46:T50" si="28">F46</f>
        <v>104822</v>
      </c>
      <c r="S46" s="172">
        <f t="shared" si="28"/>
        <v>45328</v>
      </c>
      <c r="T46" s="172">
        <f t="shared" si="28"/>
        <v>150150</v>
      </c>
      <c r="U46" s="172">
        <v>2262</v>
      </c>
      <c r="V46" s="172">
        <v>652</v>
      </c>
      <c r="W46" s="172">
        <f>U46+V46</f>
        <v>2914</v>
      </c>
      <c r="X46" s="172">
        <v>21486</v>
      </c>
      <c r="Y46" s="172">
        <v>8467</v>
      </c>
      <c r="Z46" s="172">
        <f t="shared" ref="Z46:Z51" si="29">X46+Y46</f>
        <v>29953</v>
      </c>
      <c r="AA46" s="177">
        <f t="shared" ref="AA46:AC49" si="30">U46/R46%</f>
        <v>2.1579439430653871</v>
      </c>
      <c r="AB46" s="177">
        <f t="shared" si="30"/>
        <v>1.4384045181786094</v>
      </c>
      <c r="AC46" s="177">
        <f t="shared" si="30"/>
        <v>1.9407259407259407</v>
      </c>
      <c r="AD46" s="178">
        <f>X46/R46%</f>
        <v>20.497605464501728</v>
      </c>
      <c r="AE46" s="178">
        <f>Y46/S46%</f>
        <v>18.6794034592305</v>
      </c>
      <c r="AF46" s="178">
        <f>Z46/T46%</f>
        <v>19.948717948717949</v>
      </c>
    </row>
    <row r="47" spans="1:32" x14ac:dyDescent="0.25">
      <c r="A47" s="166">
        <v>2</v>
      </c>
      <c r="B47" s="53" t="s">
        <v>288</v>
      </c>
      <c r="C47" s="264">
        <v>27079</v>
      </c>
      <c r="D47" s="264">
        <v>14099</v>
      </c>
      <c r="E47" s="168">
        <f t="shared" si="24"/>
        <v>41178</v>
      </c>
      <c r="F47" s="264">
        <v>20828</v>
      </c>
      <c r="G47" s="264">
        <v>11662</v>
      </c>
      <c r="H47" s="168">
        <f t="shared" si="25"/>
        <v>32490</v>
      </c>
      <c r="I47" s="265"/>
      <c r="J47" s="265"/>
      <c r="K47" s="168"/>
      <c r="L47" s="264">
        <v>20828</v>
      </c>
      <c r="M47" s="264">
        <v>11662</v>
      </c>
      <c r="N47" s="168">
        <f t="shared" si="26"/>
        <v>32490</v>
      </c>
      <c r="O47" s="167">
        <f t="shared" ref="O47:Q52" si="31">+L47/C47%</f>
        <v>76.91569112596477</v>
      </c>
      <c r="P47" s="167">
        <f t="shared" ref="P47:P50" si="32">+M47/D47%</f>
        <v>82.715086176324562</v>
      </c>
      <c r="Q47" s="167">
        <f t="shared" ref="Q47:Q50" si="33">+N47/E47%</f>
        <v>78.901355092525137</v>
      </c>
      <c r="R47" s="168">
        <f t="shared" si="28"/>
        <v>20828</v>
      </c>
      <c r="S47" s="168">
        <f t="shared" si="28"/>
        <v>11662</v>
      </c>
      <c r="T47" s="168">
        <f t="shared" si="28"/>
        <v>32490</v>
      </c>
      <c r="U47" s="108"/>
      <c r="V47" s="108"/>
      <c r="W47" s="108"/>
      <c r="X47" s="108"/>
      <c r="Y47" s="108"/>
      <c r="Z47" s="108"/>
      <c r="AA47" s="251"/>
      <c r="AB47" s="251"/>
      <c r="AC47" s="251"/>
      <c r="AD47" s="252"/>
      <c r="AE47" s="252"/>
      <c r="AF47" s="252"/>
    </row>
    <row r="48" spans="1:32" x14ac:dyDescent="0.25">
      <c r="A48" s="166">
        <v>3</v>
      </c>
      <c r="B48" s="43" t="s">
        <v>223</v>
      </c>
      <c r="C48" s="167">
        <v>35425</v>
      </c>
      <c r="D48" s="167">
        <v>42697</v>
      </c>
      <c r="E48" s="168">
        <f t="shared" si="24"/>
        <v>78122</v>
      </c>
      <c r="F48" s="167">
        <v>26675</v>
      </c>
      <c r="G48" s="167">
        <v>29823</v>
      </c>
      <c r="H48" s="168">
        <f t="shared" si="25"/>
        <v>56498</v>
      </c>
      <c r="I48" s="167"/>
      <c r="J48" s="167"/>
      <c r="K48" s="168"/>
      <c r="L48" s="167">
        <v>26675</v>
      </c>
      <c r="M48" s="167">
        <v>29823</v>
      </c>
      <c r="N48" s="168">
        <f t="shared" si="26"/>
        <v>56498</v>
      </c>
      <c r="O48" s="167">
        <f t="shared" si="31"/>
        <v>75.299929428369794</v>
      </c>
      <c r="P48" s="167">
        <f t="shared" si="32"/>
        <v>69.84799868843244</v>
      </c>
      <c r="Q48" s="167">
        <f t="shared" si="33"/>
        <v>72.320217096336492</v>
      </c>
      <c r="R48" s="172">
        <f t="shared" si="28"/>
        <v>26675</v>
      </c>
      <c r="S48" s="172">
        <f t="shared" si="28"/>
        <v>29823</v>
      </c>
      <c r="T48" s="172">
        <f t="shared" si="28"/>
        <v>56498</v>
      </c>
      <c r="U48" s="172">
        <v>10</v>
      </c>
      <c r="V48" s="172">
        <v>15</v>
      </c>
      <c r="W48" s="172">
        <f>U48+V48</f>
        <v>25</v>
      </c>
      <c r="X48" s="172">
        <v>918</v>
      </c>
      <c r="Y48" s="172">
        <v>806</v>
      </c>
      <c r="Z48" s="172">
        <f t="shared" si="29"/>
        <v>1724</v>
      </c>
      <c r="AA48" s="177">
        <f t="shared" si="30"/>
        <v>3.7488284910965321E-2</v>
      </c>
      <c r="AB48" s="177">
        <f t="shared" si="30"/>
        <v>5.0296750829896389E-2</v>
      </c>
      <c r="AC48" s="177">
        <f t="shared" si="30"/>
        <v>4.4249353959432192E-2</v>
      </c>
      <c r="AD48" s="178">
        <f>X48/R48%</f>
        <v>3.4414245548266167</v>
      </c>
      <c r="AE48" s="178">
        <f>Y48/S48%</f>
        <v>2.7026120779264327</v>
      </c>
      <c r="AF48" s="178">
        <f>Z48/T48%</f>
        <v>3.0514354490424438</v>
      </c>
    </row>
    <row r="49" spans="1:32" ht="28.5" x14ac:dyDescent="0.25">
      <c r="A49" s="166">
        <v>4</v>
      </c>
      <c r="B49" s="43" t="s">
        <v>289</v>
      </c>
      <c r="C49" s="167">
        <v>77407</v>
      </c>
      <c r="D49" s="167">
        <v>56404</v>
      </c>
      <c r="E49" s="168">
        <f t="shared" si="24"/>
        <v>133811</v>
      </c>
      <c r="F49" s="30">
        <f>6240+3328</f>
        <v>9568</v>
      </c>
      <c r="G49" s="167">
        <f>5674+2875</f>
        <v>8549</v>
      </c>
      <c r="H49" s="168">
        <f t="shared" si="25"/>
        <v>18117</v>
      </c>
      <c r="I49" s="167"/>
      <c r="J49" s="167"/>
      <c r="K49" s="168"/>
      <c r="L49" s="30">
        <f>6240+3328</f>
        <v>9568</v>
      </c>
      <c r="M49" s="167">
        <f>5674+2875</f>
        <v>8549</v>
      </c>
      <c r="N49" s="168">
        <f t="shared" si="26"/>
        <v>18117</v>
      </c>
      <c r="O49" s="167">
        <f t="shared" si="31"/>
        <v>12.360639218675313</v>
      </c>
      <c r="P49" s="167">
        <f t="shared" si="32"/>
        <v>15.156726473299766</v>
      </c>
      <c r="Q49" s="167">
        <f t="shared" si="33"/>
        <v>13.539245652450099</v>
      </c>
      <c r="R49" s="172">
        <f t="shared" si="28"/>
        <v>9568</v>
      </c>
      <c r="S49" s="172">
        <f t="shared" si="28"/>
        <v>8549</v>
      </c>
      <c r="T49" s="172">
        <f t="shared" si="28"/>
        <v>18117</v>
      </c>
      <c r="U49" s="172">
        <v>22</v>
      </c>
      <c r="V49" s="172">
        <v>7</v>
      </c>
      <c r="W49" s="172">
        <f>U49+V49</f>
        <v>29</v>
      </c>
      <c r="X49" s="172">
        <v>283</v>
      </c>
      <c r="Y49" s="172">
        <v>187</v>
      </c>
      <c r="Z49" s="172">
        <f t="shared" si="29"/>
        <v>470</v>
      </c>
      <c r="AA49" s="177">
        <v>0</v>
      </c>
      <c r="AB49" s="177">
        <v>0</v>
      </c>
      <c r="AC49" s="177">
        <f t="shared" si="30"/>
        <v>0.16007065187393058</v>
      </c>
      <c r="AD49" s="178">
        <v>0</v>
      </c>
      <c r="AE49" s="178">
        <v>0</v>
      </c>
      <c r="AF49" s="178">
        <v>0</v>
      </c>
    </row>
    <row r="50" spans="1:32" ht="28.5" x14ac:dyDescent="0.25">
      <c r="A50" s="266">
        <v>5</v>
      </c>
      <c r="B50" s="27" t="s">
        <v>282</v>
      </c>
      <c r="C50" s="167">
        <v>19600</v>
      </c>
      <c r="D50" s="167">
        <v>18105</v>
      </c>
      <c r="E50" s="168">
        <f t="shared" si="24"/>
        <v>37705</v>
      </c>
      <c r="F50" s="167">
        <f>7993+4981</f>
        <v>12974</v>
      </c>
      <c r="G50" s="167">
        <f>10585+6145</f>
        <v>16730</v>
      </c>
      <c r="H50" s="168">
        <f t="shared" si="25"/>
        <v>29704</v>
      </c>
      <c r="I50" s="167"/>
      <c r="J50" s="167"/>
      <c r="K50" s="168"/>
      <c r="L50" s="167">
        <f>7993+4981</f>
        <v>12974</v>
      </c>
      <c r="M50" s="167">
        <f>10585+6145</f>
        <v>16730</v>
      </c>
      <c r="N50" s="168">
        <f t="shared" si="26"/>
        <v>29704</v>
      </c>
      <c r="O50" s="167">
        <f t="shared" si="31"/>
        <v>66.193877551020407</v>
      </c>
      <c r="P50" s="167">
        <f t="shared" si="32"/>
        <v>92.405412869373095</v>
      </c>
      <c r="Q50" s="167">
        <f t="shared" si="33"/>
        <v>78.78000265216815</v>
      </c>
      <c r="R50" s="172">
        <f t="shared" si="28"/>
        <v>12974</v>
      </c>
      <c r="S50" s="172">
        <f t="shared" si="28"/>
        <v>16730</v>
      </c>
      <c r="T50" s="172">
        <f t="shared" si="28"/>
        <v>29704</v>
      </c>
      <c r="U50" s="108"/>
      <c r="V50" s="108"/>
      <c r="W50" s="108"/>
      <c r="X50" s="108"/>
      <c r="Y50" s="108"/>
      <c r="Z50" s="108"/>
      <c r="AA50" s="251"/>
      <c r="AB50" s="251"/>
      <c r="AC50" s="251"/>
      <c r="AD50" s="252"/>
      <c r="AE50" s="252"/>
      <c r="AF50" s="252"/>
    </row>
    <row r="51" spans="1:32" ht="28.5" x14ac:dyDescent="0.25">
      <c r="A51" s="267">
        <v>6</v>
      </c>
      <c r="B51" s="210" t="s">
        <v>308</v>
      </c>
      <c r="C51" s="188">
        <f>9624+8619+1369+568+1406+664</f>
        <v>22250</v>
      </c>
      <c r="D51" s="188">
        <f>9547+10472+1586+652+1208+684+69+60+1</f>
        <v>24279</v>
      </c>
      <c r="E51" s="168">
        <f t="shared" si="24"/>
        <v>46529</v>
      </c>
      <c r="F51" s="188">
        <f>2009+1999+350+84+318+95+17</f>
        <v>4872</v>
      </c>
      <c r="G51" s="188">
        <f>2804+2375+268+99+393+128+22</f>
        <v>6089</v>
      </c>
      <c r="H51" s="168">
        <f>F51+G51</f>
        <v>10961</v>
      </c>
      <c r="I51" s="188"/>
      <c r="J51" s="188"/>
      <c r="K51" s="170"/>
      <c r="L51" s="188">
        <f>2009+1999+350+84+318+95+17</f>
        <v>4872</v>
      </c>
      <c r="M51" s="188">
        <f>2804+2375+268+99+393+128+22</f>
        <v>6089</v>
      </c>
      <c r="N51" s="168">
        <f>L51+M51</f>
        <v>10961</v>
      </c>
      <c r="O51" s="167">
        <f>+L51/C51%</f>
        <v>21.896629213483145</v>
      </c>
      <c r="P51" s="167">
        <f>+M51/D51%</f>
        <v>25.079286626302565</v>
      </c>
      <c r="Q51" s="167">
        <f>+N51/E51%</f>
        <v>23.557351329278514</v>
      </c>
      <c r="R51" s="172">
        <f>F51</f>
        <v>4872</v>
      </c>
      <c r="S51" s="172">
        <f>G51</f>
        <v>6089</v>
      </c>
      <c r="T51" s="172">
        <f>H51</f>
        <v>10961</v>
      </c>
      <c r="U51" s="212"/>
      <c r="V51" s="212"/>
      <c r="W51" s="212"/>
      <c r="X51" s="213">
        <f>174+25+5+170+12+1</f>
        <v>387</v>
      </c>
      <c r="Y51" s="213">
        <f>221+19+4+264+32+2</f>
        <v>542</v>
      </c>
      <c r="Z51" s="172">
        <f t="shared" si="29"/>
        <v>929</v>
      </c>
      <c r="AA51" s="228"/>
      <c r="AB51" s="228"/>
      <c r="AC51" s="228"/>
      <c r="AD51" s="178">
        <f>X51/R51%</f>
        <v>7.9433497536945818</v>
      </c>
      <c r="AE51" s="178">
        <f>Y51/S51%</f>
        <v>8.9012974215798977</v>
      </c>
      <c r="AF51" s="178">
        <f>Z51/T51%</f>
        <v>8.4755040598485536</v>
      </c>
    </row>
    <row r="52" spans="1:32" x14ac:dyDescent="0.25">
      <c r="A52" s="526" t="s">
        <v>3</v>
      </c>
      <c r="B52" s="526"/>
      <c r="C52" s="217">
        <f>SUM(C9:C51)</f>
        <v>10601867</v>
      </c>
      <c r="D52" s="217">
        <f t="shared" ref="D52:K52" si="34">SUM(D9:D51)</f>
        <v>8864399</v>
      </c>
      <c r="E52" s="217">
        <f t="shared" si="34"/>
        <v>19466266</v>
      </c>
      <c r="F52" s="217">
        <f t="shared" si="34"/>
        <v>7955772</v>
      </c>
      <c r="G52" s="217">
        <f t="shared" si="34"/>
        <v>6959340</v>
      </c>
      <c r="H52" s="217">
        <f t="shared" si="34"/>
        <v>14915112</v>
      </c>
      <c r="I52" s="217">
        <f t="shared" si="34"/>
        <v>265683</v>
      </c>
      <c r="J52" s="217">
        <f t="shared" si="34"/>
        <v>212579</v>
      </c>
      <c r="K52" s="217">
        <f t="shared" si="34"/>
        <v>478262</v>
      </c>
      <c r="L52" s="217">
        <f>SUM(L9:L51)</f>
        <v>8221455</v>
      </c>
      <c r="M52" s="217">
        <f>SUM(M9:M51)</f>
        <v>7171919</v>
      </c>
      <c r="N52" s="217">
        <f>SUM(N9:N51)</f>
        <v>15393374</v>
      </c>
      <c r="O52" s="218">
        <f t="shared" si="31"/>
        <v>77.547237670497097</v>
      </c>
      <c r="P52" s="218">
        <f t="shared" si="31"/>
        <v>80.906996627746551</v>
      </c>
      <c r="Q52" s="218">
        <f t="shared" si="31"/>
        <v>79.077178951525681</v>
      </c>
      <c r="R52" s="217">
        <f t="shared" ref="R52:Z52" si="35">SUM(R9:R51)</f>
        <v>8221455</v>
      </c>
      <c r="S52" s="217">
        <f t="shared" si="35"/>
        <v>7171919</v>
      </c>
      <c r="T52" s="217">
        <f t="shared" si="35"/>
        <v>15393374</v>
      </c>
      <c r="U52" s="217">
        <f t="shared" si="35"/>
        <v>953457</v>
      </c>
      <c r="V52" s="217">
        <f t="shared" si="35"/>
        <v>1115694</v>
      </c>
      <c r="W52" s="217">
        <f t="shared" si="35"/>
        <v>2069151</v>
      </c>
      <c r="X52" s="217">
        <f t="shared" si="35"/>
        <v>2014122</v>
      </c>
      <c r="Y52" s="217">
        <f t="shared" si="35"/>
        <v>1825260</v>
      </c>
      <c r="Z52" s="217">
        <f t="shared" si="35"/>
        <v>3839382</v>
      </c>
      <c r="AA52" s="219">
        <f>+U52/R52%</f>
        <v>11.597180790991375</v>
      </c>
      <c r="AB52" s="219">
        <f t="shared" ref="AB52:AC52" si="36">+V52/S52%</f>
        <v>15.556422207222361</v>
      </c>
      <c r="AC52" s="219">
        <f t="shared" si="36"/>
        <v>13.441828932370512</v>
      </c>
      <c r="AD52" s="219">
        <f>+X52/R52%</f>
        <v>24.49836434061854</v>
      </c>
      <c r="AE52" s="219">
        <f t="shared" ref="AE52:AF52" si="37">+Y52/S52%</f>
        <v>25.450092227756613</v>
      </c>
      <c r="AF52" s="219">
        <f t="shared" si="37"/>
        <v>24.941783393296365</v>
      </c>
    </row>
    <row r="53" spans="1:32" x14ac:dyDescent="0.25">
      <c r="A53" s="196"/>
      <c r="B53" s="197"/>
      <c r="C53" s="200" t="s">
        <v>278</v>
      </c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3"/>
      <c r="P53" s="263"/>
      <c r="Q53" s="263"/>
      <c r="R53" s="528" t="s">
        <v>278</v>
      </c>
      <c r="S53" s="528"/>
      <c r="T53" s="528"/>
      <c r="U53" s="528"/>
      <c r="V53" s="528"/>
      <c r="W53" s="528"/>
      <c r="X53" s="528"/>
      <c r="Y53" s="528"/>
      <c r="Z53" s="528"/>
      <c r="AA53" s="528"/>
      <c r="AB53" s="528"/>
      <c r="AC53" s="528"/>
      <c r="AD53" s="528"/>
      <c r="AE53" s="528"/>
      <c r="AF53" s="528"/>
    </row>
    <row r="54" spans="1:32" x14ac:dyDescent="0.25">
      <c r="A54" s="198"/>
      <c r="B54" s="199"/>
      <c r="C54" s="200" t="s">
        <v>248</v>
      </c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201"/>
      <c r="P54" s="201"/>
      <c r="Q54" s="201"/>
      <c r="R54" s="528" t="s">
        <v>248</v>
      </c>
      <c r="S54" s="528"/>
      <c r="T54" s="528"/>
      <c r="U54" s="528"/>
      <c r="V54" s="528"/>
      <c r="W54" s="528"/>
      <c r="X54" s="528"/>
      <c r="Y54" s="528"/>
      <c r="Z54" s="528"/>
      <c r="AA54" s="528"/>
      <c r="AB54" s="528"/>
      <c r="AC54" s="528"/>
      <c r="AD54" s="528"/>
      <c r="AE54" s="528"/>
      <c r="AF54" s="528"/>
    </row>
    <row r="55" spans="1:32" x14ac:dyDescent="0.25">
      <c r="A55" s="202"/>
      <c r="B55" s="203"/>
      <c r="C55" s="200" t="s">
        <v>228</v>
      </c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201"/>
      <c r="P55" s="201"/>
      <c r="Q55" s="201"/>
      <c r="R55" s="528" t="s">
        <v>228</v>
      </c>
      <c r="S55" s="528"/>
      <c r="T55" s="528"/>
      <c r="U55" s="528"/>
      <c r="V55" s="528"/>
      <c r="W55" s="528"/>
      <c r="X55" s="528"/>
      <c r="Y55" s="528"/>
      <c r="Z55" s="528"/>
      <c r="AA55" s="528"/>
      <c r="AB55" s="528"/>
      <c r="AC55" s="528"/>
      <c r="AD55" s="528"/>
      <c r="AE55" s="528"/>
      <c r="AF55" s="528"/>
    </row>
    <row r="56" spans="1:32" x14ac:dyDescent="0.25">
      <c r="A56" s="202"/>
      <c r="B56" s="203"/>
      <c r="C56" s="368" t="s">
        <v>332</v>
      </c>
      <c r="D56" s="368"/>
      <c r="E56" s="368"/>
      <c r="F56" s="369" t="s">
        <v>333</v>
      </c>
      <c r="G56" s="368"/>
      <c r="H56" s="368"/>
      <c r="I56" s="368"/>
      <c r="R56" s="368" t="s">
        <v>332</v>
      </c>
      <c r="S56" s="368"/>
      <c r="T56" s="368"/>
      <c r="U56" s="369" t="s">
        <v>333</v>
      </c>
      <c r="V56" s="368"/>
      <c r="W56" s="368"/>
      <c r="X56" s="368"/>
    </row>
    <row r="57" spans="1:32" x14ac:dyDescent="0.25">
      <c r="A57" s="204"/>
      <c r="B57" s="144"/>
    </row>
    <row r="58" spans="1:32" x14ac:dyDescent="0.25">
      <c r="A58" s="204"/>
      <c r="B58" s="144"/>
    </row>
    <row r="59" spans="1:32" x14ac:dyDescent="0.25">
      <c r="A59" s="204"/>
      <c r="B59" s="144"/>
    </row>
    <row r="60" spans="1:32" x14ac:dyDescent="0.25">
      <c r="A60" s="204"/>
      <c r="B60" s="144"/>
    </row>
    <row r="61" spans="1:32" x14ac:dyDescent="0.25">
      <c r="A61" s="204"/>
      <c r="B61" s="144"/>
    </row>
    <row r="62" spans="1:32" x14ac:dyDescent="0.25">
      <c r="A62" s="204"/>
      <c r="B62" s="144"/>
    </row>
    <row r="63" spans="1:32" x14ac:dyDescent="0.25">
      <c r="A63" s="204"/>
      <c r="B63" s="144"/>
    </row>
    <row r="64" spans="1:32" x14ac:dyDescent="0.25">
      <c r="A64" s="204"/>
      <c r="B64" s="144"/>
    </row>
    <row r="65" spans="1:2" x14ac:dyDescent="0.25">
      <c r="A65" s="204"/>
      <c r="B65" s="144"/>
    </row>
    <row r="66" spans="1:2" x14ac:dyDescent="0.25">
      <c r="A66" s="204"/>
      <c r="B66" s="144"/>
    </row>
    <row r="67" spans="1:2" x14ac:dyDescent="0.25">
      <c r="A67" s="204"/>
      <c r="B67" s="144"/>
    </row>
    <row r="68" spans="1:2" x14ac:dyDescent="0.25">
      <c r="A68" s="204"/>
      <c r="B68" s="144"/>
    </row>
    <row r="69" spans="1:2" x14ac:dyDescent="0.25">
      <c r="A69" s="204"/>
      <c r="B69" s="144"/>
    </row>
    <row r="70" spans="1:2" x14ac:dyDescent="0.25">
      <c r="A70" s="204"/>
      <c r="B70" s="144"/>
    </row>
    <row r="71" spans="1:2" x14ac:dyDescent="0.25">
      <c r="A71" s="204"/>
      <c r="B71" s="144"/>
    </row>
    <row r="72" spans="1:2" x14ac:dyDescent="0.25">
      <c r="A72" s="204"/>
      <c r="B72" s="144"/>
    </row>
    <row r="73" spans="1:2" x14ac:dyDescent="0.25">
      <c r="A73" s="204"/>
      <c r="B73" s="144"/>
    </row>
    <row r="74" spans="1:2" x14ac:dyDescent="0.25">
      <c r="A74" s="204"/>
      <c r="B74" s="144"/>
    </row>
    <row r="75" spans="1:2" x14ac:dyDescent="0.25">
      <c r="A75" s="204"/>
      <c r="B75" s="144"/>
    </row>
    <row r="76" spans="1:2" x14ac:dyDescent="0.25">
      <c r="A76" s="204"/>
      <c r="B76" s="144"/>
    </row>
    <row r="77" spans="1:2" x14ac:dyDescent="0.25">
      <c r="A77" s="204"/>
      <c r="B77" s="144"/>
    </row>
    <row r="78" spans="1:2" x14ac:dyDescent="0.25">
      <c r="A78" s="204"/>
      <c r="B78" s="144"/>
    </row>
    <row r="79" spans="1:2" x14ac:dyDescent="0.25">
      <c r="A79" s="204"/>
      <c r="B79" s="144"/>
    </row>
    <row r="80" spans="1:2" x14ac:dyDescent="0.25">
      <c r="A80" s="204"/>
      <c r="B80" s="144"/>
    </row>
    <row r="81" spans="1:2" x14ac:dyDescent="0.25">
      <c r="A81" s="204"/>
      <c r="B81" s="144"/>
    </row>
    <row r="82" spans="1:2" x14ac:dyDescent="0.25">
      <c r="A82" s="204"/>
      <c r="B82" s="144"/>
    </row>
    <row r="83" spans="1:2" x14ac:dyDescent="0.25">
      <c r="A83" s="204"/>
      <c r="B83" s="144"/>
    </row>
    <row r="84" spans="1:2" x14ac:dyDescent="0.25">
      <c r="A84" s="204"/>
      <c r="B84" s="144"/>
    </row>
    <row r="85" spans="1:2" x14ac:dyDescent="0.25">
      <c r="A85" s="204"/>
      <c r="B85" s="144"/>
    </row>
    <row r="86" spans="1:2" x14ac:dyDescent="0.25">
      <c r="A86" s="204"/>
      <c r="B86" s="144"/>
    </row>
    <row r="87" spans="1:2" x14ac:dyDescent="0.25">
      <c r="A87" s="204"/>
      <c r="B87" s="144"/>
    </row>
    <row r="88" spans="1:2" x14ac:dyDescent="0.25">
      <c r="A88" s="204"/>
      <c r="B88" s="144"/>
    </row>
    <row r="89" spans="1:2" x14ac:dyDescent="0.25">
      <c r="A89" s="204"/>
      <c r="B89" s="144"/>
    </row>
    <row r="90" spans="1:2" x14ac:dyDescent="0.25">
      <c r="A90" s="204"/>
      <c r="B90" s="144"/>
    </row>
    <row r="91" spans="1:2" x14ac:dyDescent="0.25">
      <c r="A91" s="204"/>
      <c r="B91" s="144"/>
    </row>
    <row r="92" spans="1:2" x14ac:dyDescent="0.25">
      <c r="A92" s="204"/>
      <c r="B92" s="144"/>
    </row>
    <row r="93" spans="1:2" x14ac:dyDescent="0.25">
      <c r="A93" s="204"/>
      <c r="B93" s="144"/>
    </row>
  </sheetData>
  <mergeCells count="43">
    <mergeCell ref="A3:A6"/>
    <mergeCell ref="B3:B6"/>
    <mergeCell ref="C3:N3"/>
    <mergeCell ref="C2:Q2"/>
    <mergeCell ref="C1:Q1"/>
    <mergeCell ref="C4:E5"/>
    <mergeCell ref="F4:N4"/>
    <mergeCell ref="F5:H5"/>
    <mergeCell ref="I5:K5"/>
    <mergeCell ref="L5:N5"/>
    <mergeCell ref="R3:T5"/>
    <mergeCell ref="U3:Z4"/>
    <mergeCell ref="AA3:AF4"/>
    <mergeCell ref="AD5:AF5"/>
    <mergeCell ref="O3:Q5"/>
    <mergeCell ref="U5:W5"/>
    <mergeCell ref="X5:Z5"/>
    <mergeCell ref="AA5:AC5"/>
    <mergeCell ref="A11:B11"/>
    <mergeCell ref="C11:Q11"/>
    <mergeCell ref="R8:AF8"/>
    <mergeCell ref="A8:B8"/>
    <mergeCell ref="C8:Q8"/>
    <mergeCell ref="I45:J45"/>
    <mergeCell ref="K45:L45"/>
    <mergeCell ref="M45:N45"/>
    <mergeCell ref="R55:AF55"/>
    <mergeCell ref="R53:AF53"/>
    <mergeCell ref="R54:AF54"/>
    <mergeCell ref="AA45:AB45"/>
    <mergeCell ref="AC45:AD45"/>
    <mergeCell ref="AE45:AF45"/>
    <mergeCell ref="O45:P45"/>
    <mergeCell ref="Q45:R45"/>
    <mergeCell ref="S45:T45"/>
    <mergeCell ref="U45:V45"/>
    <mergeCell ref="W45:X45"/>
    <mergeCell ref="Y45:Z45"/>
    <mergeCell ref="A52:B52"/>
    <mergeCell ref="A45:B45"/>
    <mergeCell ref="C45:D45"/>
    <mergeCell ref="E45:F45"/>
    <mergeCell ref="G45:H45"/>
  </mergeCells>
  <hyperlinks>
    <hyperlink ref="F56" r:id="rId1" xr:uid="{00000000-0004-0000-0A00-000000000000}"/>
    <hyperlink ref="U56" r:id="rId2" xr:uid="{00000000-0004-0000-0A00-000001000000}"/>
  </hyperlinks>
  <pageMargins left="0.23622047244094491" right="0.23622047244094491" top="0.74803149606299213" bottom="0.74803149606299213" header="0.31496062992125984" footer="0.31496062992125984"/>
  <pageSetup paperSize="9" scale="65" firstPageNumber="73" orientation="landscape" useFirstPageNumber="1" r:id="rId3"/>
  <headerFooter>
    <oddFooter>Page &amp;P</oddFooter>
  </headerFooter>
  <rowBreaks count="1" manualBreakCount="1">
    <brk id="34" max="16383" man="1"/>
  </rowBreaks>
  <colBreaks count="1" manualBreakCount="1">
    <brk id="1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94"/>
  <sheetViews>
    <sheetView view="pageBreakPreview" zoomScale="60" workbookViewId="0">
      <selection activeCell="R3" sqref="R3:T5"/>
    </sheetView>
  </sheetViews>
  <sheetFormatPr defaultRowHeight="15" x14ac:dyDescent="0.25"/>
  <cols>
    <col min="1" max="1" width="9.28515625" bestFit="1" customWidth="1"/>
    <col min="2" max="2" width="36.140625" customWidth="1"/>
    <col min="3" max="3" width="12" customWidth="1"/>
    <col min="4" max="4" width="10.42578125" bestFit="1" customWidth="1"/>
    <col min="5" max="5" width="11.7109375" bestFit="1" customWidth="1"/>
    <col min="6" max="7" width="9.28515625" bestFit="1" customWidth="1"/>
    <col min="8" max="8" width="9.85546875" bestFit="1" customWidth="1"/>
    <col min="9" max="11" width="9.28515625" bestFit="1" customWidth="1"/>
    <col min="12" max="13" width="10.42578125" bestFit="1" customWidth="1"/>
    <col min="14" max="14" width="11.7109375" bestFit="1" customWidth="1"/>
    <col min="15" max="17" width="9.28515625" bestFit="1" customWidth="1"/>
  </cols>
  <sheetData>
    <row r="1" spans="1:32" ht="18" customHeight="1" x14ac:dyDescent="0.25">
      <c r="A1" s="144"/>
      <c r="B1" s="163"/>
      <c r="C1" s="511" t="s">
        <v>290</v>
      </c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157" t="s">
        <v>290</v>
      </c>
      <c r="S1" s="157"/>
      <c r="T1" s="157"/>
      <c r="U1" s="144"/>
      <c r="V1" s="144"/>
      <c r="W1" s="34"/>
      <c r="X1" s="144"/>
      <c r="Y1" s="144"/>
      <c r="Z1" s="34"/>
      <c r="AA1" s="144"/>
      <c r="AB1" s="144"/>
      <c r="AC1" s="144"/>
      <c r="AD1" s="144"/>
      <c r="AE1" s="144"/>
      <c r="AF1" s="144"/>
    </row>
    <row r="2" spans="1:32" ht="15.75" customHeight="1" x14ac:dyDescent="0.25">
      <c r="A2" s="164"/>
      <c r="B2" s="165"/>
      <c r="C2" s="512" t="s">
        <v>339</v>
      </c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146" t="s">
        <v>340</v>
      </c>
      <c r="S2" s="146"/>
      <c r="T2" s="146"/>
      <c r="U2" s="146"/>
      <c r="V2" s="146"/>
      <c r="W2" s="268"/>
      <c r="X2" s="146"/>
      <c r="Y2" s="146"/>
      <c r="Z2" s="268"/>
      <c r="AA2" s="146"/>
      <c r="AB2" s="146"/>
      <c r="AC2" s="146"/>
      <c r="AD2" s="146"/>
      <c r="AE2" s="146"/>
      <c r="AF2" s="146"/>
    </row>
    <row r="3" spans="1:32" ht="15" customHeight="1" x14ac:dyDescent="0.25">
      <c r="A3" s="484" t="s">
        <v>192</v>
      </c>
      <c r="B3" s="497" t="s">
        <v>260</v>
      </c>
      <c r="C3" s="497" t="s">
        <v>188</v>
      </c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508" t="s">
        <v>189</v>
      </c>
      <c r="P3" s="508"/>
      <c r="Q3" s="508"/>
      <c r="R3" s="533" t="s">
        <v>193</v>
      </c>
      <c r="S3" s="534"/>
      <c r="T3" s="535"/>
      <c r="U3" s="533" t="s">
        <v>194</v>
      </c>
      <c r="V3" s="534"/>
      <c r="W3" s="534"/>
      <c r="X3" s="534"/>
      <c r="Y3" s="534"/>
      <c r="Z3" s="535"/>
      <c r="AA3" s="533" t="s">
        <v>195</v>
      </c>
      <c r="AB3" s="534"/>
      <c r="AC3" s="534"/>
      <c r="AD3" s="534"/>
      <c r="AE3" s="534"/>
      <c r="AF3" s="535"/>
    </row>
    <row r="4" spans="1:32" x14ac:dyDescent="0.25">
      <c r="A4" s="484"/>
      <c r="B4" s="497"/>
      <c r="C4" s="497" t="s">
        <v>5</v>
      </c>
      <c r="D4" s="497"/>
      <c r="E4" s="497"/>
      <c r="F4" s="497" t="s">
        <v>6</v>
      </c>
      <c r="G4" s="497"/>
      <c r="H4" s="497"/>
      <c r="I4" s="497"/>
      <c r="J4" s="497"/>
      <c r="K4" s="497"/>
      <c r="L4" s="497"/>
      <c r="M4" s="497"/>
      <c r="N4" s="497"/>
      <c r="O4" s="508"/>
      <c r="P4" s="508"/>
      <c r="Q4" s="508"/>
      <c r="R4" s="536"/>
      <c r="S4" s="537"/>
      <c r="T4" s="538"/>
      <c r="U4" s="539"/>
      <c r="V4" s="540"/>
      <c r="W4" s="540"/>
      <c r="X4" s="540"/>
      <c r="Y4" s="540"/>
      <c r="Z4" s="541"/>
      <c r="AA4" s="539"/>
      <c r="AB4" s="540"/>
      <c r="AC4" s="540"/>
      <c r="AD4" s="540"/>
      <c r="AE4" s="540"/>
      <c r="AF4" s="541"/>
    </row>
    <row r="5" spans="1:32" ht="15" customHeight="1" x14ac:dyDescent="0.25">
      <c r="A5" s="484"/>
      <c r="B5" s="497"/>
      <c r="C5" s="497"/>
      <c r="D5" s="497"/>
      <c r="E5" s="497"/>
      <c r="F5" s="497" t="s">
        <v>51</v>
      </c>
      <c r="G5" s="497"/>
      <c r="H5" s="497"/>
      <c r="I5" s="497" t="s">
        <v>190</v>
      </c>
      <c r="J5" s="497"/>
      <c r="K5" s="497"/>
      <c r="L5" s="497" t="s">
        <v>262</v>
      </c>
      <c r="M5" s="497"/>
      <c r="N5" s="497"/>
      <c r="O5" s="508"/>
      <c r="P5" s="508"/>
      <c r="Q5" s="508"/>
      <c r="R5" s="539"/>
      <c r="S5" s="540"/>
      <c r="T5" s="541"/>
      <c r="U5" s="542" t="s">
        <v>229</v>
      </c>
      <c r="V5" s="543"/>
      <c r="W5" s="544"/>
      <c r="X5" s="542" t="s">
        <v>230</v>
      </c>
      <c r="Y5" s="543"/>
      <c r="Z5" s="544"/>
      <c r="AA5" s="542" t="s">
        <v>229</v>
      </c>
      <c r="AB5" s="543"/>
      <c r="AC5" s="544"/>
      <c r="AD5" s="542" t="s">
        <v>230</v>
      </c>
      <c r="AE5" s="543"/>
      <c r="AF5" s="544"/>
    </row>
    <row r="6" spans="1:32" x14ac:dyDescent="0.25">
      <c r="A6" s="484"/>
      <c r="B6" s="497"/>
      <c r="C6" s="158" t="s">
        <v>43</v>
      </c>
      <c r="D6" s="158" t="s">
        <v>44</v>
      </c>
      <c r="E6" s="158" t="s">
        <v>3</v>
      </c>
      <c r="F6" s="158" t="s">
        <v>43</v>
      </c>
      <c r="G6" s="158" t="s">
        <v>44</v>
      </c>
      <c r="H6" s="158" t="s">
        <v>3</v>
      </c>
      <c r="I6" s="158" t="s">
        <v>43</v>
      </c>
      <c r="J6" s="158" t="s">
        <v>44</v>
      </c>
      <c r="K6" s="158" t="s">
        <v>3</v>
      </c>
      <c r="L6" s="158" t="s">
        <v>43</v>
      </c>
      <c r="M6" s="158" t="s">
        <v>44</v>
      </c>
      <c r="N6" s="158" t="s">
        <v>3</v>
      </c>
      <c r="O6" s="159" t="s">
        <v>43</v>
      </c>
      <c r="P6" s="159" t="s">
        <v>44</v>
      </c>
      <c r="Q6" s="159" t="s">
        <v>3</v>
      </c>
      <c r="R6" s="158" t="s">
        <v>43</v>
      </c>
      <c r="S6" s="158" t="s">
        <v>44</v>
      </c>
      <c r="T6" s="158" t="s">
        <v>3</v>
      </c>
      <c r="U6" s="158" t="s">
        <v>43</v>
      </c>
      <c r="V6" s="158" t="s">
        <v>44</v>
      </c>
      <c r="W6" s="269" t="s">
        <v>3</v>
      </c>
      <c r="X6" s="158" t="s">
        <v>43</v>
      </c>
      <c r="Y6" s="158" t="s">
        <v>44</v>
      </c>
      <c r="Z6" s="269" t="s">
        <v>3</v>
      </c>
      <c r="AA6" s="158" t="s">
        <v>43</v>
      </c>
      <c r="AB6" s="158" t="s">
        <v>44</v>
      </c>
      <c r="AC6" s="158" t="s">
        <v>3</v>
      </c>
      <c r="AD6" s="158" t="s">
        <v>43</v>
      </c>
      <c r="AE6" s="158" t="s">
        <v>44</v>
      </c>
      <c r="AF6" s="158" t="s">
        <v>3</v>
      </c>
    </row>
    <row r="7" spans="1:32" x14ac:dyDescent="0.25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115">
        <v>15</v>
      </c>
      <c r="P7" s="115">
        <v>16</v>
      </c>
      <c r="Q7" s="115">
        <v>17</v>
      </c>
      <c r="R7" s="78">
        <v>3</v>
      </c>
      <c r="S7" s="78">
        <v>4</v>
      </c>
      <c r="T7" s="78">
        <v>5</v>
      </c>
      <c r="U7" s="78">
        <v>6</v>
      </c>
      <c r="V7" s="78">
        <v>7</v>
      </c>
      <c r="W7" s="270">
        <v>8</v>
      </c>
      <c r="X7" s="78">
        <v>9</v>
      </c>
      <c r="Y7" s="78">
        <v>10</v>
      </c>
      <c r="Z7" s="270">
        <v>11</v>
      </c>
      <c r="AA7" s="78">
        <v>12</v>
      </c>
      <c r="AB7" s="78">
        <v>13</v>
      </c>
      <c r="AC7" s="78">
        <v>14</v>
      </c>
      <c r="AD7" s="78">
        <v>15</v>
      </c>
      <c r="AE7" s="78">
        <v>16</v>
      </c>
      <c r="AF7" s="78">
        <v>17</v>
      </c>
    </row>
    <row r="8" spans="1:32" x14ac:dyDescent="0.25">
      <c r="A8" s="556" t="s">
        <v>216</v>
      </c>
      <c r="B8" s="556"/>
      <c r="C8" s="560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560"/>
      <c r="R8" s="529"/>
      <c r="S8" s="530"/>
      <c r="T8" s="530"/>
      <c r="U8" s="530"/>
      <c r="V8" s="530"/>
      <c r="W8" s="530"/>
      <c r="X8" s="530"/>
      <c r="Y8" s="530"/>
      <c r="Z8" s="530"/>
      <c r="AA8" s="530"/>
      <c r="AB8" s="530"/>
      <c r="AC8" s="530"/>
      <c r="AD8" s="530"/>
      <c r="AE8" s="530"/>
      <c r="AF8" s="531"/>
    </row>
    <row r="9" spans="1:32" ht="28.5" x14ac:dyDescent="0.25">
      <c r="A9" s="166">
        <v>1</v>
      </c>
      <c r="B9" s="27" t="s">
        <v>143</v>
      </c>
      <c r="C9" s="274">
        <v>746079</v>
      </c>
      <c r="D9" s="274">
        <v>508924</v>
      </c>
      <c r="E9" s="274">
        <v>1255003</v>
      </c>
      <c r="F9" s="274">
        <v>735948</v>
      </c>
      <c r="G9" s="274">
        <v>503506</v>
      </c>
      <c r="H9" s="274">
        <v>1239454</v>
      </c>
      <c r="I9" s="274">
        <v>1202</v>
      </c>
      <c r="J9" s="274">
        <v>622</v>
      </c>
      <c r="K9" s="274">
        <v>1824</v>
      </c>
      <c r="L9" s="271">
        <v>737150</v>
      </c>
      <c r="M9" s="271">
        <v>504128</v>
      </c>
      <c r="N9" s="271">
        <v>1241278</v>
      </c>
      <c r="O9" s="273">
        <v>98.803209847750708</v>
      </c>
      <c r="P9" s="273">
        <v>99.05761960528487</v>
      </c>
      <c r="Q9" s="273">
        <v>98.906377116230004</v>
      </c>
      <c r="R9" s="276">
        <f>L9</f>
        <v>737150</v>
      </c>
      <c r="S9" s="276">
        <f>M9</f>
        <v>504128</v>
      </c>
      <c r="T9" s="276">
        <f>N9</f>
        <v>1241278</v>
      </c>
      <c r="U9" s="277">
        <v>0</v>
      </c>
      <c r="V9" s="277">
        <v>0</v>
      </c>
      <c r="W9" s="277">
        <v>0</v>
      </c>
      <c r="X9" s="277"/>
      <c r="Y9" s="277"/>
      <c r="Z9" s="277"/>
      <c r="AA9" s="278"/>
      <c r="AB9" s="278"/>
      <c r="AC9" s="278"/>
      <c r="AD9" s="278"/>
      <c r="AE9" s="278"/>
      <c r="AF9" s="278"/>
    </row>
    <row r="10" spans="1:32" ht="28.5" x14ac:dyDescent="0.25">
      <c r="A10" s="279">
        <v>2</v>
      </c>
      <c r="B10" s="27" t="s">
        <v>231</v>
      </c>
      <c r="C10" s="274">
        <v>78457</v>
      </c>
      <c r="D10" s="274">
        <v>62453</v>
      </c>
      <c r="E10" s="274">
        <v>140910</v>
      </c>
      <c r="F10" s="274">
        <v>76681</v>
      </c>
      <c r="G10" s="274">
        <v>61701</v>
      </c>
      <c r="H10" s="274">
        <v>138382</v>
      </c>
      <c r="I10" s="277">
        <v>0</v>
      </c>
      <c r="J10" s="277">
        <v>0</v>
      </c>
      <c r="K10" s="277">
        <v>0</v>
      </c>
      <c r="L10" s="271">
        <v>76681</v>
      </c>
      <c r="M10" s="271">
        <v>61701</v>
      </c>
      <c r="N10" s="271">
        <v>138382</v>
      </c>
      <c r="O10" s="273">
        <v>97.736339651019037</v>
      </c>
      <c r="P10" s="273">
        <v>98.795894512673527</v>
      </c>
      <c r="Q10" s="273">
        <v>98.205947058406068</v>
      </c>
      <c r="R10" s="276">
        <v>76681</v>
      </c>
      <c r="S10" s="276">
        <v>61701</v>
      </c>
      <c r="T10" s="276">
        <v>138382</v>
      </c>
      <c r="U10" s="276">
        <v>39100</v>
      </c>
      <c r="V10" s="276">
        <v>35863</v>
      </c>
      <c r="W10" s="272">
        <v>74963</v>
      </c>
      <c r="X10" s="276">
        <v>24662</v>
      </c>
      <c r="Y10" s="276">
        <v>19039</v>
      </c>
      <c r="Z10" s="272">
        <v>43701</v>
      </c>
      <c r="AA10" s="280">
        <v>50.990466999647893</v>
      </c>
      <c r="AB10" s="280">
        <v>58.123855367011878</v>
      </c>
      <c r="AC10" s="280">
        <v>54.171062710468128</v>
      </c>
      <c r="AD10" s="280">
        <v>32.161813226222925</v>
      </c>
      <c r="AE10" s="280">
        <v>30.856874280805823</v>
      </c>
      <c r="AF10" s="280">
        <v>31.579974274110796</v>
      </c>
    </row>
    <row r="11" spans="1:32" x14ac:dyDescent="0.25">
      <c r="A11" s="556" t="s">
        <v>217</v>
      </c>
      <c r="B11" s="556"/>
      <c r="C11" s="557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9"/>
      <c r="R11" s="281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3"/>
    </row>
    <row r="12" spans="1:32" ht="28.5" x14ac:dyDescent="0.25">
      <c r="A12" s="166">
        <v>3</v>
      </c>
      <c r="B12" s="27" t="s">
        <v>263</v>
      </c>
      <c r="C12" s="274">
        <v>635913</v>
      </c>
      <c r="D12" s="274">
        <v>556163</v>
      </c>
      <c r="E12" s="274">
        <v>1192076</v>
      </c>
      <c r="F12" s="274">
        <v>511895</v>
      </c>
      <c r="G12" s="274">
        <v>477583</v>
      </c>
      <c r="H12" s="274">
        <v>989478</v>
      </c>
      <c r="I12" s="277"/>
      <c r="J12" s="277"/>
      <c r="K12" s="277"/>
      <c r="L12" s="271">
        <v>511895</v>
      </c>
      <c r="M12" s="271">
        <v>477583</v>
      </c>
      <c r="N12" s="274">
        <v>989478</v>
      </c>
      <c r="O12" s="273">
        <v>80.497646690663657</v>
      </c>
      <c r="P12" s="273">
        <v>85.871048595465709</v>
      </c>
      <c r="Q12" s="273">
        <v>83.004607088809777</v>
      </c>
      <c r="R12" s="276">
        <v>511895</v>
      </c>
      <c r="S12" s="276">
        <v>477583</v>
      </c>
      <c r="T12" s="276">
        <v>989478</v>
      </c>
      <c r="U12" s="274">
        <v>218580</v>
      </c>
      <c r="V12" s="274">
        <v>222405</v>
      </c>
      <c r="W12" s="272">
        <v>440985</v>
      </c>
      <c r="X12" s="276">
        <v>324524</v>
      </c>
      <c r="Y12" s="276">
        <v>292119</v>
      </c>
      <c r="Z12" s="272">
        <v>616643</v>
      </c>
      <c r="AA12" s="280">
        <v>42.700163119389721</v>
      </c>
      <c r="AB12" s="280">
        <v>46.56886865738521</v>
      </c>
      <c r="AC12" s="280">
        <v>44.567438588831685</v>
      </c>
      <c r="AD12" s="280">
        <v>63.396595004834978</v>
      </c>
      <c r="AE12" s="280">
        <v>61.16612190969947</v>
      </c>
      <c r="AF12" s="280">
        <v>62.320031370075938</v>
      </c>
    </row>
    <row r="13" spans="1:32" ht="28.5" x14ac:dyDescent="0.25">
      <c r="A13" s="166">
        <v>4</v>
      </c>
      <c r="B13" s="284" t="s">
        <v>291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1"/>
      <c r="M13" s="271"/>
      <c r="N13" s="271"/>
      <c r="O13" s="273"/>
      <c r="P13" s="273"/>
      <c r="Q13" s="273"/>
      <c r="R13" s="276"/>
      <c r="S13" s="276"/>
      <c r="T13" s="276"/>
      <c r="U13" s="277"/>
      <c r="V13" s="277"/>
      <c r="W13" s="277"/>
      <c r="X13" s="277"/>
      <c r="Y13" s="277"/>
      <c r="Z13" s="277"/>
      <c r="AA13" s="278"/>
      <c r="AB13" s="278"/>
      <c r="AC13" s="278"/>
      <c r="AD13" s="278"/>
      <c r="AE13" s="278"/>
      <c r="AF13" s="278"/>
    </row>
    <row r="14" spans="1:32" x14ac:dyDescent="0.25">
      <c r="A14" s="166">
        <v>5</v>
      </c>
      <c r="B14" s="27" t="s">
        <v>264</v>
      </c>
      <c r="C14" s="274">
        <v>187142</v>
      </c>
      <c r="D14" s="274">
        <v>197566</v>
      </c>
      <c r="E14" s="274">
        <v>384708</v>
      </c>
      <c r="F14" s="274">
        <v>135602</v>
      </c>
      <c r="G14" s="274">
        <v>133574</v>
      </c>
      <c r="H14" s="274">
        <v>269176</v>
      </c>
      <c r="I14" s="277">
        <v>0</v>
      </c>
      <c r="J14" s="277">
        <v>0</v>
      </c>
      <c r="K14" s="277">
        <v>0</v>
      </c>
      <c r="L14" s="271">
        <v>135602</v>
      </c>
      <c r="M14" s="271">
        <v>133574</v>
      </c>
      <c r="N14" s="271">
        <v>269176</v>
      </c>
      <c r="O14" s="273">
        <v>72.459415844652725</v>
      </c>
      <c r="P14" s="273">
        <v>67.609811404796375</v>
      </c>
      <c r="Q14" s="273">
        <v>69.968911486114152</v>
      </c>
      <c r="R14" s="274">
        <v>135602</v>
      </c>
      <c r="S14" s="274">
        <v>133574</v>
      </c>
      <c r="T14" s="274">
        <v>269176</v>
      </c>
      <c r="U14" s="274">
        <v>3462</v>
      </c>
      <c r="V14" s="274">
        <v>2991</v>
      </c>
      <c r="W14" s="274">
        <v>6453</v>
      </c>
      <c r="X14" s="274">
        <v>15764</v>
      </c>
      <c r="Y14" s="274">
        <v>12902</v>
      </c>
      <c r="Z14" s="274">
        <v>28666</v>
      </c>
      <c r="AA14" s="285">
        <v>2.5530596893851123</v>
      </c>
      <c r="AB14" s="285">
        <v>2.2392082291463908</v>
      </c>
      <c r="AC14" s="285">
        <v>2.3973162540493949</v>
      </c>
      <c r="AD14" s="285">
        <v>11.625197268476866</v>
      </c>
      <c r="AE14" s="285">
        <v>9.6590653869765077</v>
      </c>
      <c r="AF14" s="285">
        <v>10.649537848842392</v>
      </c>
    </row>
    <row r="15" spans="1:32" x14ac:dyDescent="0.25">
      <c r="A15" s="166">
        <v>6</v>
      </c>
      <c r="B15" s="27" t="s">
        <v>265</v>
      </c>
      <c r="C15" s="274">
        <v>5860</v>
      </c>
      <c r="D15" s="274">
        <v>3972</v>
      </c>
      <c r="E15" s="274">
        <v>9832</v>
      </c>
      <c r="F15" s="274">
        <v>2633</v>
      </c>
      <c r="G15" s="274">
        <v>1991</v>
      </c>
      <c r="H15" s="274">
        <v>4624</v>
      </c>
      <c r="I15" s="277"/>
      <c r="J15" s="277"/>
      <c r="K15" s="277"/>
      <c r="L15" s="271">
        <v>2633</v>
      </c>
      <c r="M15" s="271">
        <v>1991</v>
      </c>
      <c r="N15" s="274">
        <v>4624</v>
      </c>
      <c r="O15" s="273">
        <v>44.931740614334473</v>
      </c>
      <c r="P15" s="273">
        <v>50.125881168177244</v>
      </c>
      <c r="Q15" s="273">
        <v>47.030105777054516</v>
      </c>
      <c r="R15" s="276">
        <v>2633</v>
      </c>
      <c r="S15" s="276">
        <v>1991</v>
      </c>
      <c r="T15" s="276">
        <v>4624</v>
      </c>
      <c r="U15" s="277"/>
      <c r="V15" s="277"/>
      <c r="W15" s="277">
        <v>0</v>
      </c>
      <c r="X15" s="277"/>
      <c r="Y15" s="277"/>
      <c r="Z15" s="277">
        <v>0</v>
      </c>
      <c r="AA15" s="278"/>
      <c r="AB15" s="278"/>
      <c r="AC15" s="278"/>
      <c r="AD15" s="278"/>
      <c r="AE15" s="278"/>
      <c r="AF15" s="278"/>
    </row>
    <row r="16" spans="1:32" x14ac:dyDescent="0.25">
      <c r="A16" s="166">
        <v>7</v>
      </c>
      <c r="B16" s="27" t="s">
        <v>266</v>
      </c>
      <c r="C16" s="274">
        <v>19</v>
      </c>
      <c r="D16" s="274">
        <v>165</v>
      </c>
      <c r="E16" s="274">
        <v>184</v>
      </c>
      <c r="F16" s="274">
        <v>19</v>
      </c>
      <c r="G16" s="274">
        <v>160</v>
      </c>
      <c r="H16" s="274">
        <v>179</v>
      </c>
      <c r="I16" s="274">
        <v>0</v>
      </c>
      <c r="J16" s="274">
        <v>3</v>
      </c>
      <c r="K16" s="274">
        <v>3</v>
      </c>
      <c r="L16" s="271">
        <v>19</v>
      </c>
      <c r="M16" s="271">
        <v>163</v>
      </c>
      <c r="N16" s="274">
        <v>182</v>
      </c>
      <c r="O16" s="273">
        <v>100</v>
      </c>
      <c r="P16" s="273">
        <v>98.787878787878796</v>
      </c>
      <c r="Q16" s="273">
        <v>98.91304347826086</v>
      </c>
      <c r="R16" s="276">
        <v>19</v>
      </c>
      <c r="S16" s="276">
        <v>163</v>
      </c>
      <c r="T16" s="276">
        <v>182</v>
      </c>
      <c r="U16" s="286">
        <v>14</v>
      </c>
      <c r="V16" s="286">
        <v>57</v>
      </c>
      <c r="W16" s="272">
        <v>71</v>
      </c>
      <c r="X16" s="276">
        <v>2</v>
      </c>
      <c r="Y16" s="276">
        <v>80</v>
      </c>
      <c r="Z16" s="272">
        <v>82</v>
      </c>
      <c r="AA16" s="280">
        <v>73.684210526315795</v>
      </c>
      <c r="AB16" s="280">
        <v>34.969325153374236</v>
      </c>
      <c r="AC16" s="280">
        <v>39.010989010989007</v>
      </c>
      <c r="AD16" s="280">
        <v>10.526315789473685</v>
      </c>
      <c r="AE16" s="280">
        <v>49.079754601226995</v>
      </c>
      <c r="AF16" s="280">
        <v>45.054945054945051</v>
      </c>
    </row>
    <row r="17" spans="1:32" x14ac:dyDescent="0.25">
      <c r="A17" s="166">
        <v>8</v>
      </c>
      <c r="B17" s="27" t="s">
        <v>138</v>
      </c>
      <c r="C17" s="274">
        <v>669881</v>
      </c>
      <c r="D17" s="274">
        <v>536811</v>
      </c>
      <c r="E17" s="274">
        <v>1206692</v>
      </c>
      <c r="F17" s="274">
        <v>519063</v>
      </c>
      <c r="G17" s="274">
        <v>376146</v>
      </c>
      <c r="H17" s="274">
        <v>895209</v>
      </c>
      <c r="I17" s="274">
        <v>19025</v>
      </c>
      <c r="J17" s="274">
        <v>26189</v>
      </c>
      <c r="K17" s="274">
        <v>45214</v>
      </c>
      <c r="L17" s="271">
        <v>538088</v>
      </c>
      <c r="M17" s="271">
        <v>402335</v>
      </c>
      <c r="N17" s="274">
        <v>940423</v>
      </c>
      <c r="O17" s="273">
        <v>80.325908631533053</v>
      </c>
      <c r="P17" s="273">
        <v>74.949097540847703</v>
      </c>
      <c r="Q17" s="273">
        <v>77.933971551978459</v>
      </c>
      <c r="R17" s="276">
        <v>538088</v>
      </c>
      <c r="S17" s="276">
        <v>402335</v>
      </c>
      <c r="T17" s="276">
        <v>940423</v>
      </c>
      <c r="U17" s="286">
        <v>11740</v>
      </c>
      <c r="V17" s="286">
        <v>5427</v>
      </c>
      <c r="W17" s="272">
        <v>17167</v>
      </c>
      <c r="X17" s="276">
        <v>139373</v>
      </c>
      <c r="Y17" s="276">
        <v>77829</v>
      </c>
      <c r="Z17" s="272">
        <v>217202</v>
      </c>
      <c r="AA17" s="280">
        <v>2.1817992596006599</v>
      </c>
      <c r="AB17" s="280">
        <v>1.3488759367194005</v>
      </c>
      <c r="AC17" s="280">
        <v>1.8254551409312618</v>
      </c>
      <c r="AD17" s="280">
        <v>25.901525401049643</v>
      </c>
      <c r="AE17" s="280">
        <v>19.344327488287124</v>
      </c>
      <c r="AF17" s="280">
        <v>23.096202453576744</v>
      </c>
    </row>
    <row r="18" spans="1:32" x14ac:dyDescent="0.25">
      <c r="A18" s="166">
        <v>9</v>
      </c>
      <c r="B18" s="27" t="s">
        <v>267</v>
      </c>
      <c r="C18" s="274">
        <v>18565</v>
      </c>
      <c r="D18" s="274">
        <v>32168</v>
      </c>
      <c r="E18" s="274">
        <v>50733</v>
      </c>
      <c r="F18" s="274">
        <v>16592</v>
      </c>
      <c r="G18" s="274">
        <v>29490</v>
      </c>
      <c r="H18" s="274">
        <v>46082</v>
      </c>
      <c r="I18" s="277">
        <v>0</v>
      </c>
      <c r="J18" s="277">
        <v>0</v>
      </c>
      <c r="K18" s="277">
        <v>0</v>
      </c>
      <c r="L18" s="271">
        <v>16592</v>
      </c>
      <c r="M18" s="271">
        <v>29490</v>
      </c>
      <c r="N18" s="274">
        <v>46082</v>
      </c>
      <c r="O18" s="273">
        <v>89.372475087530304</v>
      </c>
      <c r="P18" s="273">
        <v>91.674956478487928</v>
      </c>
      <c r="Q18" s="273">
        <v>90.832397059113404</v>
      </c>
      <c r="R18" s="276">
        <v>16592</v>
      </c>
      <c r="S18" s="276">
        <v>29490</v>
      </c>
      <c r="T18" s="276">
        <v>46082</v>
      </c>
      <c r="U18" s="277"/>
      <c r="V18" s="277"/>
      <c r="W18" s="277">
        <v>0</v>
      </c>
      <c r="X18" s="276">
        <v>11136</v>
      </c>
      <c r="Y18" s="276">
        <v>18063</v>
      </c>
      <c r="Z18" s="272">
        <v>29199</v>
      </c>
      <c r="AA18" s="278">
        <v>0</v>
      </c>
      <c r="AB18" s="278">
        <v>0</v>
      </c>
      <c r="AC18" s="278">
        <v>0</v>
      </c>
      <c r="AD18" s="280">
        <v>67.11668273866924</v>
      </c>
      <c r="AE18" s="280">
        <v>61.251271617497459</v>
      </c>
      <c r="AF18" s="280">
        <v>63.363135280586782</v>
      </c>
    </row>
    <row r="19" spans="1:32" ht="28.5" x14ac:dyDescent="0.25">
      <c r="A19" s="166">
        <v>10</v>
      </c>
      <c r="B19" s="27" t="s">
        <v>145</v>
      </c>
      <c r="C19" s="274">
        <v>225767</v>
      </c>
      <c r="D19" s="274">
        <v>225878</v>
      </c>
      <c r="E19" s="274">
        <v>451645</v>
      </c>
      <c r="F19" s="274">
        <v>122297</v>
      </c>
      <c r="G19" s="274">
        <v>125918</v>
      </c>
      <c r="H19" s="274">
        <v>248215</v>
      </c>
      <c r="I19" s="274">
        <v>1243</v>
      </c>
      <c r="J19" s="274">
        <v>1181</v>
      </c>
      <c r="K19" s="274">
        <v>2424</v>
      </c>
      <c r="L19" s="274">
        <v>123540</v>
      </c>
      <c r="M19" s="274">
        <v>127099</v>
      </c>
      <c r="N19" s="274">
        <v>250639</v>
      </c>
      <c r="O19" s="273">
        <v>54.720131817316087</v>
      </c>
      <c r="P19" s="273">
        <v>56.268870806364504</v>
      </c>
      <c r="Q19" s="273">
        <v>55.494691627273632</v>
      </c>
      <c r="R19" s="276">
        <v>123540</v>
      </c>
      <c r="S19" s="276">
        <v>127099</v>
      </c>
      <c r="T19" s="276">
        <v>250639</v>
      </c>
      <c r="U19" s="286">
        <v>5388</v>
      </c>
      <c r="V19" s="286">
        <v>4709</v>
      </c>
      <c r="W19" s="272">
        <v>10097</v>
      </c>
      <c r="X19" s="276">
        <v>11573</v>
      </c>
      <c r="Y19" s="276">
        <v>11460</v>
      </c>
      <c r="Z19" s="272">
        <v>23033</v>
      </c>
      <c r="AA19" s="280">
        <v>4.3613404565322966</v>
      </c>
      <c r="AB19" s="280">
        <v>3.7049858771508823</v>
      </c>
      <c r="AC19" s="280">
        <v>4.0285031459589291</v>
      </c>
      <c r="AD19" s="280">
        <v>9.3678160919540225</v>
      </c>
      <c r="AE19" s="280">
        <v>9.0165933642278855</v>
      </c>
      <c r="AF19" s="280">
        <v>9.189711098432408</v>
      </c>
    </row>
    <row r="20" spans="1:32" x14ac:dyDescent="0.25">
      <c r="A20" s="166">
        <v>11</v>
      </c>
      <c r="B20" s="27" t="s">
        <v>268</v>
      </c>
      <c r="C20" s="274">
        <v>120</v>
      </c>
      <c r="D20" s="274">
        <v>81</v>
      </c>
      <c r="E20" s="274">
        <v>201</v>
      </c>
      <c r="F20" s="274">
        <v>44</v>
      </c>
      <c r="G20" s="274">
        <v>37</v>
      </c>
      <c r="H20" s="274">
        <v>81</v>
      </c>
      <c r="I20" s="274">
        <v>12</v>
      </c>
      <c r="J20" s="274">
        <v>18</v>
      </c>
      <c r="K20" s="274">
        <v>30</v>
      </c>
      <c r="L20" s="274">
        <v>56</v>
      </c>
      <c r="M20" s="274">
        <v>55</v>
      </c>
      <c r="N20" s="274">
        <v>111</v>
      </c>
      <c r="O20" s="273">
        <v>46.666666666666664</v>
      </c>
      <c r="P20" s="273">
        <v>67.901234567901241</v>
      </c>
      <c r="Q20" s="273">
        <v>55.223880597014926</v>
      </c>
      <c r="R20" s="276">
        <v>56</v>
      </c>
      <c r="S20" s="276">
        <v>55</v>
      </c>
      <c r="T20" s="276">
        <v>111</v>
      </c>
      <c r="U20" s="277">
        <v>0</v>
      </c>
      <c r="V20" s="277">
        <v>0</v>
      </c>
      <c r="W20" s="277">
        <v>0</v>
      </c>
      <c r="X20" s="276">
        <v>5</v>
      </c>
      <c r="Y20" s="276">
        <v>2</v>
      </c>
      <c r="Z20" s="272">
        <v>7</v>
      </c>
      <c r="AA20" s="278">
        <v>0</v>
      </c>
      <c r="AB20" s="278">
        <v>0</v>
      </c>
      <c r="AC20" s="278">
        <v>0</v>
      </c>
      <c r="AD20" s="280">
        <v>1</v>
      </c>
      <c r="AE20" s="280">
        <v>3.6363636363636362</v>
      </c>
      <c r="AF20" s="280">
        <v>6.3063063063063058</v>
      </c>
    </row>
    <row r="21" spans="1:32" x14ac:dyDescent="0.25">
      <c r="A21" s="166">
        <v>12</v>
      </c>
      <c r="B21" s="27" t="s">
        <v>144</v>
      </c>
      <c r="C21" s="289">
        <v>320</v>
      </c>
      <c r="D21" s="289">
        <v>208</v>
      </c>
      <c r="E21" s="289">
        <v>528</v>
      </c>
      <c r="F21" s="289">
        <v>288</v>
      </c>
      <c r="G21" s="289">
        <v>190</v>
      </c>
      <c r="H21" s="289">
        <v>478</v>
      </c>
      <c r="I21" s="289">
        <v>21</v>
      </c>
      <c r="J21" s="289">
        <v>13</v>
      </c>
      <c r="K21" s="289">
        <v>34</v>
      </c>
      <c r="L21" s="288">
        <v>309</v>
      </c>
      <c r="M21" s="288">
        <v>203</v>
      </c>
      <c r="N21" s="289">
        <v>512</v>
      </c>
      <c r="O21" s="273">
        <v>96.5625</v>
      </c>
      <c r="P21" s="273">
        <v>97.59615384615384</v>
      </c>
      <c r="Q21" s="273">
        <v>96.969696969696969</v>
      </c>
      <c r="R21" s="290">
        <v>309</v>
      </c>
      <c r="S21" s="290">
        <v>203</v>
      </c>
      <c r="T21" s="290">
        <v>512</v>
      </c>
      <c r="U21" s="287"/>
      <c r="V21" s="287"/>
      <c r="W21" s="277">
        <v>0</v>
      </c>
      <c r="X21" s="290">
        <v>56</v>
      </c>
      <c r="Y21" s="290">
        <v>27</v>
      </c>
      <c r="Z21" s="272">
        <v>83</v>
      </c>
      <c r="AA21" s="291">
        <v>0</v>
      </c>
      <c r="AB21" s="291">
        <v>0</v>
      </c>
      <c r="AC21" s="291">
        <v>0</v>
      </c>
      <c r="AD21" s="292">
        <v>18.122977346278319</v>
      </c>
      <c r="AE21" s="292">
        <v>13.300492610837439</v>
      </c>
      <c r="AF21" s="292">
        <v>16.2109375</v>
      </c>
    </row>
    <row r="22" spans="1:32" ht="28.5" x14ac:dyDescent="0.25">
      <c r="A22" s="166">
        <v>13</v>
      </c>
      <c r="B22" s="27" t="s">
        <v>148</v>
      </c>
      <c r="C22" s="274">
        <v>10352</v>
      </c>
      <c r="D22" s="274">
        <v>10177</v>
      </c>
      <c r="E22" s="274">
        <v>20529</v>
      </c>
      <c r="F22" s="274">
        <v>8396</v>
      </c>
      <c r="G22" s="274">
        <v>8352</v>
      </c>
      <c r="H22" s="274">
        <v>16748</v>
      </c>
      <c r="I22" s="274">
        <v>396</v>
      </c>
      <c r="J22" s="274">
        <v>359</v>
      </c>
      <c r="K22" s="274">
        <v>755</v>
      </c>
      <c r="L22" s="271">
        <v>8792</v>
      </c>
      <c r="M22" s="271">
        <v>8711</v>
      </c>
      <c r="N22" s="274">
        <v>17503</v>
      </c>
      <c r="O22" s="273">
        <v>84.930448222565687</v>
      </c>
      <c r="P22" s="273">
        <v>85.594969047852999</v>
      </c>
      <c r="Q22" s="273">
        <v>85.259876272589992</v>
      </c>
      <c r="R22" s="274">
        <v>8792</v>
      </c>
      <c r="S22" s="274">
        <v>8711</v>
      </c>
      <c r="T22" s="274">
        <v>17503</v>
      </c>
      <c r="U22" s="274">
        <v>1251</v>
      </c>
      <c r="V22" s="274">
        <v>1880</v>
      </c>
      <c r="W22" s="272">
        <v>3131</v>
      </c>
      <c r="X22" s="274">
        <v>2155</v>
      </c>
      <c r="Y22" s="274">
        <v>2482</v>
      </c>
      <c r="Z22" s="272">
        <v>4637</v>
      </c>
      <c r="AA22" s="285">
        <v>14.22884440400364</v>
      </c>
      <c r="AB22" s="285">
        <v>21.581907932499139</v>
      </c>
      <c r="AC22" s="285">
        <v>17.888361995086555</v>
      </c>
      <c r="AD22" s="285">
        <v>24.510919017288444</v>
      </c>
      <c r="AE22" s="285">
        <v>28.492710366203649</v>
      </c>
      <c r="AF22" s="285">
        <v>26.492601268353997</v>
      </c>
    </row>
    <row r="23" spans="1:32" ht="28.5" x14ac:dyDescent="0.25">
      <c r="A23" s="166">
        <v>14</v>
      </c>
      <c r="B23" s="27" t="s">
        <v>149</v>
      </c>
      <c r="C23" s="274">
        <v>618184</v>
      </c>
      <c r="D23" s="274">
        <v>353944</v>
      </c>
      <c r="E23" s="274">
        <v>972128</v>
      </c>
      <c r="F23" s="274">
        <v>375282</v>
      </c>
      <c r="G23" s="274">
        <v>256081</v>
      </c>
      <c r="H23" s="274">
        <v>631363</v>
      </c>
      <c r="I23" s="274">
        <v>25726</v>
      </c>
      <c r="J23" s="274">
        <v>14703</v>
      </c>
      <c r="K23" s="274">
        <v>40429</v>
      </c>
      <c r="L23" s="271">
        <v>401008</v>
      </c>
      <c r="M23" s="271">
        <v>270784</v>
      </c>
      <c r="N23" s="274">
        <v>671792</v>
      </c>
      <c r="O23" s="273">
        <v>64.868712228074486</v>
      </c>
      <c r="P23" s="273">
        <v>76.504757814795568</v>
      </c>
      <c r="Q23" s="273">
        <v>69.105303005365542</v>
      </c>
      <c r="R23" s="276">
        <v>401008</v>
      </c>
      <c r="S23" s="276">
        <v>270784</v>
      </c>
      <c r="T23" s="276">
        <v>671792</v>
      </c>
      <c r="U23" s="286">
        <v>45916</v>
      </c>
      <c r="V23" s="286">
        <v>37912</v>
      </c>
      <c r="W23" s="272">
        <v>83828</v>
      </c>
      <c r="X23" s="276">
        <v>116243</v>
      </c>
      <c r="Y23" s="276">
        <v>94395</v>
      </c>
      <c r="Z23" s="272">
        <v>210638</v>
      </c>
      <c r="AA23" s="280">
        <v>11.450145633004828</v>
      </c>
      <c r="AB23" s="280">
        <v>14.000827227605766</v>
      </c>
      <c r="AC23" s="280">
        <v>12.478267082668445</v>
      </c>
      <c r="AD23" s="280">
        <v>28.987700993496389</v>
      </c>
      <c r="AE23" s="280">
        <v>34.859888324273221</v>
      </c>
      <c r="AF23" s="280">
        <v>31.354645485507419</v>
      </c>
    </row>
    <row r="24" spans="1:32" x14ac:dyDescent="0.25">
      <c r="A24" s="166">
        <v>15</v>
      </c>
      <c r="B24" s="27" t="s">
        <v>140</v>
      </c>
      <c r="C24" s="272">
        <v>218980</v>
      </c>
      <c r="D24" s="272">
        <v>174083</v>
      </c>
      <c r="E24" s="272">
        <v>393063</v>
      </c>
      <c r="F24" s="272">
        <v>104714</v>
      </c>
      <c r="G24" s="272">
        <v>91780</v>
      </c>
      <c r="H24" s="272">
        <v>196494</v>
      </c>
      <c r="I24" s="272">
        <v>38603</v>
      </c>
      <c r="J24" s="272">
        <v>27607</v>
      </c>
      <c r="K24" s="272">
        <v>66210</v>
      </c>
      <c r="L24" s="275">
        <v>143317</v>
      </c>
      <c r="M24" s="275">
        <v>119387</v>
      </c>
      <c r="N24" s="272">
        <v>262704</v>
      </c>
      <c r="O24" s="273">
        <v>65.447529454744725</v>
      </c>
      <c r="P24" s="273">
        <v>68.580504701780185</v>
      </c>
      <c r="Q24" s="273">
        <v>66.83508750505645</v>
      </c>
      <c r="R24" s="272">
        <v>143317</v>
      </c>
      <c r="S24" s="272">
        <v>119387</v>
      </c>
      <c r="T24" s="272">
        <v>262704</v>
      </c>
      <c r="U24" s="272">
        <v>1375</v>
      </c>
      <c r="V24" s="272">
        <v>2267</v>
      </c>
      <c r="W24" s="272">
        <v>3642</v>
      </c>
      <c r="X24" s="272">
        <v>29511</v>
      </c>
      <c r="Y24" s="272">
        <v>34142</v>
      </c>
      <c r="Z24" s="272">
        <v>63653</v>
      </c>
      <c r="AA24" s="293">
        <v>0.95941165388614047</v>
      </c>
      <c r="AB24" s="293">
        <v>1.8988667107809061</v>
      </c>
      <c r="AC24" s="293">
        <v>1.3863511785126987</v>
      </c>
      <c r="AD24" s="293">
        <v>20.591416231151921</v>
      </c>
      <c r="AE24" s="293">
        <v>28.597753524253061</v>
      </c>
      <c r="AF24" s="293">
        <v>24.229931786345087</v>
      </c>
    </row>
    <row r="25" spans="1:32" x14ac:dyDescent="0.25">
      <c r="A25" s="166">
        <v>16</v>
      </c>
      <c r="B25" s="27" t="s">
        <v>150</v>
      </c>
      <c r="C25" s="274">
        <v>76719</v>
      </c>
      <c r="D25" s="274">
        <v>69551</v>
      </c>
      <c r="E25" s="274">
        <v>146270</v>
      </c>
      <c r="F25" s="274">
        <v>46160</v>
      </c>
      <c r="G25" s="274">
        <v>43534</v>
      </c>
      <c r="H25" s="274">
        <v>89694</v>
      </c>
      <c r="I25" s="274">
        <v>2770</v>
      </c>
      <c r="J25" s="274">
        <v>3076</v>
      </c>
      <c r="K25" s="274">
        <v>5846</v>
      </c>
      <c r="L25" s="271">
        <v>48930</v>
      </c>
      <c r="M25" s="271">
        <v>46610</v>
      </c>
      <c r="N25" s="274">
        <v>95540</v>
      </c>
      <c r="O25" s="273">
        <v>63.778203574082035</v>
      </c>
      <c r="P25" s="273">
        <v>67.01557130738594</v>
      </c>
      <c r="Q25" s="273">
        <v>65.317563410131953</v>
      </c>
      <c r="R25" s="274">
        <v>48930</v>
      </c>
      <c r="S25" s="274">
        <v>46610</v>
      </c>
      <c r="T25" s="274">
        <v>95540</v>
      </c>
      <c r="U25" s="274">
        <v>4501</v>
      </c>
      <c r="V25" s="274">
        <v>5559</v>
      </c>
      <c r="W25" s="274">
        <v>10060</v>
      </c>
      <c r="X25" s="274">
        <v>13154</v>
      </c>
      <c r="Y25" s="274">
        <v>14591</v>
      </c>
      <c r="Z25" s="274">
        <v>27745</v>
      </c>
      <c r="AA25" s="285">
        <v>9.1988555078683838</v>
      </c>
      <c r="AB25" s="285">
        <v>11.926625187727955</v>
      </c>
      <c r="AC25" s="285">
        <v>10.529621101109484</v>
      </c>
      <c r="AD25" s="285">
        <v>26.883302677294093</v>
      </c>
      <c r="AE25" s="285">
        <v>31.304441107058569</v>
      </c>
      <c r="AF25" s="285">
        <v>29.040192589491312</v>
      </c>
    </row>
    <row r="26" spans="1:32" x14ac:dyDescent="0.25">
      <c r="A26" s="166">
        <v>17</v>
      </c>
      <c r="B26" s="27" t="s">
        <v>151</v>
      </c>
      <c r="C26" s="274">
        <v>160655</v>
      </c>
      <c r="D26" s="274">
        <v>124458</v>
      </c>
      <c r="E26" s="274">
        <v>285113</v>
      </c>
      <c r="F26" s="274">
        <v>81043</v>
      </c>
      <c r="G26" s="274">
        <v>65829</v>
      </c>
      <c r="H26" s="274">
        <v>146872</v>
      </c>
      <c r="I26" s="274">
        <v>33780</v>
      </c>
      <c r="J26" s="274">
        <v>25401</v>
      </c>
      <c r="K26" s="274">
        <v>59181</v>
      </c>
      <c r="L26" s="271">
        <v>114823</v>
      </c>
      <c r="M26" s="271">
        <v>91230</v>
      </c>
      <c r="N26" s="274">
        <v>206053</v>
      </c>
      <c r="O26" s="273">
        <v>71.471787370452205</v>
      </c>
      <c r="P26" s="273">
        <v>73.301836764209611</v>
      </c>
      <c r="Q26" s="273">
        <v>72.270643569391794</v>
      </c>
      <c r="R26" s="276">
        <v>114823</v>
      </c>
      <c r="S26" s="276">
        <v>91230</v>
      </c>
      <c r="T26" s="276">
        <v>206053</v>
      </c>
      <c r="U26" s="277"/>
      <c r="V26" s="277"/>
      <c r="W26" s="277">
        <v>0</v>
      </c>
      <c r="X26" s="277"/>
      <c r="Y26" s="277"/>
      <c r="Z26" s="277">
        <v>0</v>
      </c>
      <c r="AA26" s="278"/>
      <c r="AB26" s="278"/>
      <c r="AC26" s="278"/>
      <c r="AD26" s="278"/>
      <c r="AE26" s="278"/>
      <c r="AF26" s="278"/>
    </row>
    <row r="27" spans="1:32" x14ac:dyDescent="0.25">
      <c r="A27" s="166">
        <v>18</v>
      </c>
      <c r="B27" s="27" t="s">
        <v>152</v>
      </c>
      <c r="C27" s="274">
        <v>242394</v>
      </c>
      <c r="D27" s="274">
        <v>226774</v>
      </c>
      <c r="E27" s="274">
        <v>469168</v>
      </c>
      <c r="F27" s="274">
        <v>182941</v>
      </c>
      <c r="G27" s="274">
        <v>160960</v>
      </c>
      <c r="H27" s="274">
        <v>343901</v>
      </c>
      <c r="I27" s="274">
        <v>4174</v>
      </c>
      <c r="J27" s="274">
        <v>6501</v>
      </c>
      <c r="K27" s="274">
        <v>10675</v>
      </c>
      <c r="L27" s="271">
        <v>187115</v>
      </c>
      <c r="M27" s="271">
        <v>167461</v>
      </c>
      <c r="N27" s="274">
        <v>354576</v>
      </c>
      <c r="O27" s="273">
        <v>77.194567522298414</v>
      </c>
      <c r="P27" s="273">
        <v>73.844885216118257</v>
      </c>
      <c r="Q27" s="273">
        <v>75.575486819220401</v>
      </c>
      <c r="R27" s="276">
        <v>187115</v>
      </c>
      <c r="S27" s="276">
        <v>167461</v>
      </c>
      <c r="T27" s="276">
        <v>354576</v>
      </c>
      <c r="U27" s="286">
        <v>9396</v>
      </c>
      <c r="V27" s="286">
        <v>6362</v>
      </c>
      <c r="W27" s="272">
        <v>15758</v>
      </c>
      <c r="X27" s="276">
        <v>43122</v>
      </c>
      <c r="Y27" s="276">
        <v>34151</v>
      </c>
      <c r="Z27" s="272">
        <v>77273</v>
      </c>
      <c r="AA27" s="280">
        <v>5.0215108355823954</v>
      </c>
      <c r="AB27" s="280">
        <v>3.7990935202823346</v>
      </c>
      <c r="AC27" s="280">
        <v>4.4441812192590584</v>
      </c>
      <c r="AD27" s="280">
        <v>23.045720546188171</v>
      </c>
      <c r="AE27" s="280">
        <v>20.393405031619302</v>
      </c>
      <c r="AF27" s="280">
        <v>21.793071161048687</v>
      </c>
    </row>
    <row r="28" spans="1:32" ht="28.5" x14ac:dyDescent="0.25">
      <c r="A28" s="166">
        <v>19</v>
      </c>
      <c r="B28" s="27" t="s">
        <v>285</v>
      </c>
      <c r="C28" s="274">
        <v>402470</v>
      </c>
      <c r="D28" s="274">
        <v>373797</v>
      </c>
      <c r="E28" s="274">
        <v>776267</v>
      </c>
      <c r="F28" s="274">
        <v>313373</v>
      </c>
      <c r="G28" s="274">
        <v>315786</v>
      </c>
      <c r="H28" s="274">
        <v>629159</v>
      </c>
      <c r="I28" s="274">
        <v>43740</v>
      </c>
      <c r="J28" s="274">
        <v>26322</v>
      </c>
      <c r="K28" s="274">
        <v>70062</v>
      </c>
      <c r="L28" s="271">
        <v>357113</v>
      </c>
      <c r="M28" s="271">
        <v>342108</v>
      </c>
      <c r="N28" s="274">
        <v>699221</v>
      </c>
      <c r="O28" s="273">
        <v>88.730340149576364</v>
      </c>
      <c r="P28" s="273">
        <v>91.522403871620156</v>
      </c>
      <c r="Q28" s="273">
        <v>90.074806735311427</v>
      </c>
      <c r="R28" s="276">
        <v>357113</v>
      </c>
      <c r="S28" s="276">
        <v>342108</v>
      </c>
      <c r="T28" s="276">
        <v>699221</v>
      </c>
      <c r="U28" s="286">
        <v>43965</v>
      </c>
      <c r="V28" s="286">
        <v>58390</v>
      </c>
      <c r="W28" s="272">
        <v>102355</v>
      </c>
      <c r="X28" s="276">
        <v>77185</v>
      </c>
      <c r="Y28" s="276">
        <v>88666</v>
      </c>
      <c r="Z28" s="272">
        <v>165851</v>
      </c>
      <c r="AA28" s="280">
        <v>12.311229218762689</v>
      </c>
      <c r="AB28" s="280">
        <v>17.067709612169256</v>
      </c>
      <c r="AC28" s="280">
        <v>14.638433342248016</v>
      </c>
      <c r="AD28" s="280">
        <v>21.613606897536634</v>
      </c>
      <c r="AE28" s="280">
        <v>25.9175465057818</v>
      </c>
      <c r="AF28" s="280">
        <v>23.719396299596266</v>
      </c>
    </row>
    <row r="29" spans="1:32" x14ac:dyDescent="0.25">
      <c r="A29" s="166">
        <v>20</v>
      </c>
      <c r="B29" s="27" t="s">
        <v>286</v>
      </c>
      <c r="C29" s="274">
        <v>233518</v>
      </c>
      <c r="D29" s="274">
        <v>229058</v>
      </c>
      <c r="E29" s="274">
        <v>462576</v>
      </c>
      <c r="F29" s="274">
        <v>217196</v>
      </c>
      <c r="G29" s="274">
        <v>218602</v>
      </c>
      <c r="H29" s="274">
        <v>435798</v>
      </c>
      <c r="I29" s="277">
        <v>0</v>
      </c>
      <c r="J29" s="277">
        <v>0</v>
      </c>
      <c r="K29" s="277">
        <v>0</v>
      </c>
      <c r="L29" s="271">
        <v>217196</v>
      </c>
      <c r="M29" s="271">
        <v>218602</v>
      </c>
      <c r="N29" s="274">
        <v>435798</v>
      </c>
      <c r="O29" s="273">
        <v>93.01038892076842</v>
      </c>
      <c r="P29" s="273">
        <v>95.435217281212616</v>
      </c>
      <c r="Q29" s="273">
        <v>94.21111341703849</v>
      </c>
      <c r="R29" s="276">
        <v>217196</v>
      </c>
      <c r="S29" s="276">
        <v>218602</v>
      </c>
      <c r="T29" s="276">
        <v>435798</v>
      </c>
      <c r="U29" s="277">
        <v>0</v>
      </c>
      <c r="V29" s="277">
        <v>0</v>
      </c>
      <c r="W29" s="277">
        <v>0</v>
      </c>
      <c r="X29" s="277">
        <v>0</v>
      </c>
      <c r="Y29" s="277">
        <v>0</v>
      </c>
      <c r="Z29" s="277">
        <v>0</v>
      </c>
      <c r="AA29" s="278">
        <v>0</v>
      </c>
      <c r="AB29" s="278">
        <v>0</v>
      </c>
      <c r="AC29" s="278">
        <v>0</v>
      </c>
      <c r="AD29" s="278">
        <v>0</v>
      </c>
      <c r="AE29" s="278">
        <v>0</v>
      </c>
      <c r="AF29" s="278">
        <v>0</v>
      </c>
    </row>
    <row r="30" spans="1:32" ht="28.5" x14ac:dyDescent="0.25">
      <c r="A30" s="166">
        <v>21</v>
      </c>
      <c r="B30" s="27" t="s">
        <v>271</v>
      </c>
      <c r="C30" s="274">
        <v>961014</v>
      </c>
      <c r="D30" s="274">
        <v>770882</v>
      </c>
      <c r="E30" s="274">
        <v>1731896</v>
      </c>
      <c r="F30" s="274">
        <v>705397</v>
      </c>
      <c r="G30" s="274">
        <v>614774</v>
      </c>
      <c r="H30" s="274">
        <v>1320171</v>
      </c>
      <c r="I30" s="274">
        <v>23833</v>
      </c>
      <c r="J30" s="274">
        <v>14506</v>
      </c>
      <c r="K30" s="274">
        <v>38339</v>
      </c>
      <c r="L30" s="271">
        <v>729230</v>
      </c>
      <c r="M30" s="271">
        <v>629280</v>
      </c>
      <c r="N30" s="274">
        <v>1358510</v>
      </c>
      <c r="O30" s="273">
        <v>75.881308701017886</v>
      </c>
      <c r="P30" s="273">
        <v>81.631170529341716</v>
      </c>
      <c r="Q30" s="273">
        <v>78.440622300646226</v>
      </c>
      <c r="R30" s="276">
        <v>729230</v>
      </c>
      <c r="S30" s="276">
        <v>629280</v>
      </c>
      <c r="T30" s="276">
        <v>1358510</v>
      </c>
      <c r="U30" s="286">
        <v>126607</v>
      </c>
      <c r="V30" s="286">
        <v>140451</v>
      </c>
      <c r="W30" s="272">
        <v>267058</v>
      </c>
      <c r="X30" s="276">
        <v>250772</v>
      </c>
      <c r="Y30" s="276">
        <v>247030</v>
      </c>
      <c r="Z30" s="272">
        <v>497802</v>
      </c>
      <c r="AA30" s="280">
        <v>17.361737723352029</v>
      </c>
      <c r="AB30" s="280">
        <v>22.319317315026698</v>
      </c>
      <c r="AC30" s="280">
        <v>19.658154890284209</v>
      </c>
      <c r="AD30" s="280">
        <v>34.388601675740162</v>
      </c>
      <c r="AE30" s="280">
        <v>39.255975082634123</v>
      </c>
      <c r="AF30" s="280">
        <v>36.643234131511726</v>
      </c>
    </row>
    <row r="31" spans="1:32" ht="28.5" x14ac:dyDescent="0.25">
      <c r="A31" s="166">
        <v>22</v>
      </c>
      <c r="B31" s="27" t="s">
        <v>272</v>
      </c>
      <c r="C31" s="274">
        <v>588448</v>
      </c>
      <c r="D31" s="274">
        <v>465345</v>
      </c>
      <c r="E31" s="274">
        <v>1053793</v>
      </c>
      <c r="F31" s="274">
        <v>269239</v>
      </c>
      <c r="G31" s="274">
        <v>215917</v>
      </c>
      <c r="H31" s="274">
        <v>485156</v>
      </c>
      <c r="I31" s="274">
        <v>69263</v>
      </c>
      <c r="J31" s="274">
        <v>60166</v>
      </c>
      <c r="K31" s="274">
        <v>129429</v>
      </c>
      <c r="L31" s="271">
        <v>338502</v>
      </c>
      <c r="M31" s="271">
        <v>276083</v>
      </c>
      <c r="N31" s="274">
        <v>614585</v>
      </c>
      <c r="O31" s="273">
        <v>57.52453912665181</v>
      </c>
      <c r="P31" s="273">
        <v>59.328670126465312</v>
      </c>
      <c r="Q31" s="273">
        <v>58.321226274989492</v>
      </c>
      <c r="R31" s="276">
        <v>338502</v>
      </c>
      <c r="S31" s="276">
        <v>276083</v>
      </c>
      <c r="T31" s="276">
        <v>614585</v>
      </c>
      <c r="U31" s="286">
        <v>34605</v>
      </c>
      <c r="V31" s="286">
        <v>30409</v>
      </c>
      <c r="W31" s="272">
        <v>65014</v>
      </c>
      <c r="X31" s="276">
        <v>84338</v>
      </c>
      <c r="Y31" s="276">
        <v>68907</v>
      </c>
      <c r="Z31" s="272">
        <v>153245</v>
      </c>
      <c r="AA31" s="280">
        <v>10.222982434372618</v>
      </c>
      <c r="AB31" s="280">
        <v>11.014441309316402</v>
      </c>
      <c r="AC31" s="280">
        <v>10.578520465029246</v>
      </c>
      <c r="AD31" s="280">
        <v>24.915066971539311</v>
      </c>
      <c r="AE31" s="280">
        <v>24.958798622153484</v>
      </c>
      <c r="AF31" s="280">
        <v>24.934712041458869</v>
      </c>
    </row>
    <row r="32" spans="1:32" ht="28.5" x14ac:dyDescent="0.25">
      <c r="A32" s="166">
        <v>23</v>
      </c>
      <c r="B32" s="27" t="s">
        <v>141</v>
      </c>
      <c r="C32" s="274">
        <v>16777</v>
      </c>
      <c r="D32" s="274">
        <v>16802</v>
      </c>
      <c r="E32" s="274">
        <v>33579</v>
      </c>
      <c r="F32" s="274">
        <v>12769</v>
      </c>
      <c r="G32" s="274">
        <v>11498</v>
      </c>
      <c r="H32" s="274">
        <v>24267</v>
      </c>
      <c r="I32" s="272">
        <v>1778</v>
      </c>
      <c r="J32" s="272">
        <v>2155</v>
      </c>
      <c r="K32" s="272">
        <v>3933</v>
      </c>
      <c r="L32" s="271">
        <v>14547</v>
      </c>
      <c r="M32" s="271">
        <v>13653</v>
      </c>
      <c r="N32" s="274">
        <v>28200</v>
      </c>
      <c r="O32" s="273">
        <v>86.707993085772188</v>
      </c>
      <c r="P32" s="273">
        <v>81.258183549577438</v>
      </c>
      <c r="Q32" s="273">
        <v>83.98105959081569</v>
      </c>
      <c r="R32" s="276">
        <v>14547</v>
      </c>
      <c r="S32" s="276">
        <v>13653</v>
      </c>
      <c r="T32" s="276">
        <v>28200</v>
      </c>
      <c r="U32" s="286">
        <v>784</v>
      </c>
      <c r="V32" s="286">
        <v>612</v>
      </c>
      <c r="W32" s="272">
        <v>1396</v>
      </c>
      <c r="X32" s="276">
        <v>4982</v>
      </c>
      <c r="Y32" s="276">
        <v>4437</v>
      </c>
      <c r="Z32" s="272">
        <v>9419</v>
      </c>
      <c r="AA32" s="280">
        <v>5.3894273733415821</v>
      </c>
      <c r="AB32" s="280">
        <v>4.4825313117996046</v>
      </c>
      <c r="AC32" s="280">
        <v>4.9503546099290778</v>
      </c>
      <c r="AD32" s="280">
        <v>34.247611191310924</v>
      </c>
      <c r="AE32" s="280">
        <v>32.49835201054713</v>
      </c>
      <c r="AF32" s="280">
        <v>33.400709219858157</v>
      </c>
    </row>
    <row r="33" spans="1:32" x14ac:dyDescent="0.25">
      <c r="A33" s="166">
        <v>24</v>
      </c>
      <c r="B33" s="27" t="s">
        <v>158</v>
      </c>
      <c r="C33" s="274">
        <v>18860</v>
      </c>
      <c r="D33" s="274">
        <v>22147</v>
      </c>
      <c r="E33" s="274">
        <v>41007</v>
      </c>
      <c r="F33" s="274">
        <v>10635</v>
      </c>
      <c r="G33" s="274">
        <v>12462</v>
      </c>
      <c r="H33" s="274">
        <v>23097</v>
      </c>
      <c r="I33" s="277">
        <v>0</v>
      </c>
      <c r="J33" s="277">
        <v>0</v>
      </c>
      <c r="K33" s="277">
        <v>0</v>
      </c>
      <c r="L33" s="271">
        <v>10635</v>
      </c>
      <c r="M33" s="271">
        <v>12462</v>
      </c>
      <c r="N33" s="274">
        <v>23097</v>
      </c>
      <c r="O33" s="273">
        <v>56.389183457051963</v>
      </c>
      <c r="P33" s="273">
        <v>56.269472163272681</v>
      </c>
      <c r="Q33" s="273">
        <v>56.324529958299806</v>
      </c>
      <c r="R33" s="276">
        <v>10635</v>
      </c>
      <c r="S33" s="276">
        <v>12462</v>
      </c>
      <c r="T33" s="276">
        <v>23097</v>
      </c>
      <c r="U33" s="277">
        <v>0</v>
      </c>
      <c r="V33" s="277">
        <v>0</v>
      </c>
      <c r="W33" s="277">
        <v>0</v>
      </c>
      <c r="X33" s="277">
        <v>0</v>
      </c>
      <c r="Y33" s="277">
        <v>0</v>
      </c>
      <c r="Z33" s="277">
        <v>0</v>
      </c>
      <c r="AA33" s="278">
        <v>0</v>
      </c>
      <c r="AB33" s="278">
        <v>0</v>
      </c>
      <c r="AC33" s="278">
        <v>0</v>
      </c>
      <c r="AD33" s="278">
        <v>0</v>
      </c>
      <c r="AE33" s="278">
        <v>0</v>
      </c>
      <c r="AF33" s="278">
        <v>0</v>
      </c>
    </row>
    <row r="34" spans="1:32" x14ac:dyDescent="0.25">
      <c r="A34" s="166">
        <v>25</v>
      </c>
      <c r="B34" s="27" t="s">
        <v>159</v>
      </c>
      <c r="C34" s="274">
        <v>7960</v>
      </c>
      <c r="D34" s="274">
        <v>8184</v>
      </c>
      <c r="E34" s="274">
        <v>16144</v>
      </c>
      <c r="F34" s="274">
        <v>4789</v>
      </c>
      <c r="G34" s="274">
        <v>4677</v>
      </c>
      <c r="H34" s="274">
        <v>9466</v>
      </c>
      <c r="I34" s="274">
        <v>59</v>
      </c>
      <c r="J34" s="274">
        <v>65</v>
      </c>
      <c r="K34" s="274">
        <v>124</v>
      </c>
      <c r="L34" s="271">
        <v>4848</v>
      </c>
      <c r="M34" s="271">
        <v>4742</v>
      </c>
      <c r="N34" s="274">
        <v>9590</v>
      </c>
      <c r="O34" s="273">
        <v>60.904522613065325</v>
      </c>
      <c r="P34" s="273">
        <v>57.94232649071359</v>
      </c>
      <c r="Q34" s="273">
        <v>59.402874132804762</v>
      </c>
      <c r="R34" s="274">
        <v>4848</v>
      </c>
      <c r="S34" s="274">
        <v>4742</v>
      </c>
      <c r="T34" s="274">
        <v>9590</v>
      </c>
      <c r="U34" s="274">
        <v>374</v>
      </c>
      <c r="V34" s="274">
        <v>0</v>
      </c>
      <c r="W34" s="272">
        <v>374</v>
      </c>
      <c r="X34" s="274">
        <v>1550</v>
      </c>
      <c r="Y34" s="274">
        <v>20</v>
      </c>
      <c r="Z34" s="272">
        <v>1570</v>
      </c>
      <c r="AA34" s="285">
        <v>7.714521452145215</v>
      </c>
      <c r="AB34" s="285">
        <v>0</v>
      </c>
      <c r="AC34" s="285">
        <v>3.8998957247132426</v>
      </c>
      <c r="AD34" s="285">
        <v>31.971947194719473</v>
      </c>
      <c r="AE34" s="285">
        <v>0.42176296921130324</v>
      </c>
      <c r="AF34" s="285">
        <v>16.371220020855056</v>
      </c>
    </row>
    <row r="35" spans="1:32" x14ac:dyDescent="0.25">
      <c r="A35" s="166">
        <v>26</v>
      </c>
      <c r="B35" s="27" t="s">
        <v>160</v>
      </c>
      <c r="C35" s="274">
        <v>10689</v>
      </c>
      <c r="D35" s="274">
        <v>10621</v>
      </c>
      <c r="E35" s="274">
        <v>21310</v>
      </c>
      <c r="F35" s="274">
        <v>6859</v>
      </c>
      <c r="G35" s="274">
        <v>6676</v>
      </c>
      <c r="H35" s="274">
        <v>13535</v>
      </c>
      <c r="I35" s="277">
        <v>0</v>
      </c>
      <c r="J35" s="277">
        <v>0</v>
      </c>
      <c r="K35" s="277">
        <v>0</v>
      </c>
      <c r="L35" s="271">
        <v>6859</v>
      </c>
      <c r="M35" s="271">
        <v>6676</v>
      </c>
      <c r="N35" s="274">
        <v>13535</v>
      </c>
      <c r="O35" s="273">
        <v>64.168771634390495</v>
      </c>
      <c r="P35" s="273">
        <v>62.856604839468979</v>
      </c>
      <c r="Q35" s="273">
        <v>63.514781792585637</v>
      </c>
      <c r="R35" s="276">
        <v>6859</v>
      </c>
      <c r="S35" s="276">
        <v>6676</v>
      </c>
      <c r="T35" s="276">
        <v>13535</v>
      </c>
      <c r="U35" s="286">
        <v>451</v>
      </c>
      <c r="V35" s="286">
        <v>540</v>
      </c>
      <c r="W35" s="272">
        <v>991</v>
      </c>
      <c r="X35" s="276">
        <v>1598</v>
      </c>
      <c r="Y35" s="276">
        <v>1634</v>
      </c>
      <c r="Z35" s="272">
        <v>3232</v>
      </c>
      <c r="AA35" s="280">
        <v>6.575302522233561</v>
      </c>
      <c r="AB35" s="280">
        <v>8.0886758538046735</v>
      </c>
      <c r="AC35" s="280">
        <v>7.3217584041374222</v>
      </c>
      <c r="AD35" s="280">
        <v>23.297856830441756</v>
      </c>
      <c r="AE35" s="280">
        <v>24.475733972438583</v>
      </c>
      <c r="AF35" s="280">
        <v>23.878832656076838</v>
      </c>
    </row>
    <row r="36" spans="1:32" x14ac:dyDescent="0.25">
      <c r="A36" s="166">
        <v>27</v>
      </c>
      <c r="B36" s="27" t="s">
        <v>273</v>
      </c>
      <c r="C36" s="289">
        <v>286440</v>
      </c>
      <c r="D36" s="289">
        <v>281970</v>
      </c>
      <c r="E36" s="289">
        <v>568410</v>
      </c>
      <c r="F36" s="289">
        <v>209148</v>
      </c>
      <c r="G36" s="289">
        <v>201765</v>
      </c>
      <c r="H36" s="289">
        <v>410913</v>
      </c>
      <c r="I36" s="289">
        <v>9520</v>
      </c>
      <c r="J36" s="289">
        <v>12237</v>
      </c>
      <c r="K36" s="289">
        <v>21757</v>
      </c>
      <c r="L36" s="288">
        <v>218668</v>
      </c>
      <c r="M36" s="288">
        <v>214002</v>
      </c>
      <c r="N36" s="289">
        <v>432670</v>
      </c>
      <c r="O36" s="273">
        <v>76.339896662477301</v>
      </c>
      <c r="P36" s="273">
        <v>75.895308011490584</v>
      </c>
      <c r="Q36" s="273">
        <v>76.119350468851707</v>
      </c>
      <c r="R36" s="290">
        <v>218668</v>
      </c>
      <c r="S36" s="290">
        <v>214002</v>
      </c>
      <c r="T36" s="290">
        <v>432670</v>
      </c>
      <c r="U36" s="294">
        <v>54358</v>
      </c>
      <c r="V36" s="294">
        <v>50790</v>
      </c>
      <c r="W36" s="272">
        <v>105148</v>
      </c>
      <c r="X36" s="290">
        <v>62897</v>
      </c>
      <c r="Y36" s="290">
        <v>64311</v>
      </c>
      <c r="Z36" s="272">
        <v>127208</v>
      </c>
      <c r="AA36" s="292">
        <v>24.858689886037283</v>
      </c>
      <c r="AB36" s="292">
        <v>23.733423052121008</v>
      </c>
      <c r="AC36" s="292">
        <v>24.302124020616176</v>
      </c>
      <c r="AD36" s="292">
        <v>28.763696562825839</v>
      </c>
      <c r="AE36" s="292">
        <v>30.051588302913057</v>
      </c>
      <c r="AF36" s="292">
        <v>29.400697991540898</v>
      </c>
    </row>
    <row r="37" spans="1:32" x14ac:dyDescent="0.25">
      <c r="A37" s="166">
        <v>28</v>
      </c>
      <c r="B37" s="27" t="s">
        <v>162</v>
      </c>
      <c r="C37" s="274">
        <v>244960</v>
      </c>
      <c r="D37" s="274">
        <v>183236</v>
      </c>
      <c r="E37" s="274">
        <v>428196</v>
      </c>
      <c r="F37" s="274">
        <v>152583</v>
      </c>
      <c r="G37" s="274">
        <v>138450</v>
      </c>
      <c r="H37" s="274">
        <v>291033</v>
      </c>
      <c r="I37" s="277">
        <v>0</v>
      </c>
      <c r="J37" s="277">
        <v>0</v>
      </c>
      <c r="K37" s="277">
        <v>0</v>
      </c>
      <c r="L37" s="271">
        <v>152583</v>
      </c>
      <c r="M37" s="271">
        <v>138450</v>
      </c>
      <c r="N37" s="274">
        <v>291033</v>
      </c>
      <c r="O37" s="273">
        <v>62.288945133899411</v>
      </c>
      <c r="P37" s="273">
        <v>75.55829640463665</v>
      </c>
      <c r="Q37" s="273">
        <v>67.967239301628226</v>
      </c>
      <c r="R37" s="276">
        <v>152583</v>
      </c>
      <c r="S37" s="276">
        <v>138450</v>
      </c>
      <c r="T37" s="276">
        <v>291033</v>
      </c>
      <c r="U37" s="277"/>
      <c r="V37" s="277"/>
      <c r="W37" s="277">
        <v>0</v>
      </c>
      <c r="X37" s="277"/>
      <c r="Y37" s="277"/>
      <c r="Z37" s="277">
        <v>0</v>
      </c>
      <c r="AA37" s="278">
        <v>0</v>
      </c>
      <c r="AB37" s="278">
        <v>0</v>
      </c>
      <c r="AC37" s="278">
        <v>0</v>
      </c>
      <c r="AD37" s="278">
        <v>0</v>
      </c>
      <c r="AE37" s="278">
        <v>0</v>
      </c>
      <c r="AF37" s="278">
        <v>0</v>
      </c>
    </row>
    <row r="38" spans="1:32" ht="28.5" x14ac:dyDescent="0.25">
      <c r="A38" s="166">
        <v>29</v>
      </c>
      <c r="B38" s="27" t="s">
        <v>212</v>
      </c>
      <c r="C38" s="274">
        <v>697513</v>
      </c>
      <c r="D38" s="274">
        <v>473277</v>
      </c>
      <c r="E38" s="274">
        <v>1170790</v>
      </c>
      <c r="F38" s="274">
        <v>458752</v>
      </c>
      <c r="G38" s="274">
        <v>308811</v>
      </c>
      <c r="H38" s="274">
        <v>767563</v>
      </c>
      <c r="I38" s="274">
        <v>17670</v>
      </c>
      <c r="J38" s="274">
        <v>15997</v>
      </c>
      <c r="K38" s="274">
        <v>33667</v>
      </c>
      <c r="L38" s="271">
        <v>476422</v>
      </c>
      <c r="M38" s="271">
        <v>324808</v>
      </c>
      <c r="N38" s="274">
        <v>801230</v>
      </c>
      <c r="O38" s="273">
        <v>68.302956360669981</v>
      </c>
      <c r="P38" s="273">
        <v>68.629576336902062</v>
      </c>
      <c r="Q38" s="273">
        <v>68.434988341205511</v>
      </c>
      <c r="R38" s="276">
        <v>476422</v>
      </c>
      <c r="S38" s="276">
        <v>324808</v>
      </c>
      <c r="T38" s="276">
        <v>801230</v>
      </c>
      <c r="U38" s="277">
        <v>0</v>
      </c>
      <c r="V38" s="277">
        <v>0</v>
      </c>
      <c r="W38" s="277">
        <v>0</v>
      </c>
      <c r="X38" s="277">
        <v>0</v>
      </c>
      <c r="Y38" s="277">
        <v>0</v>
      </c>
      <c r="Z38" s="277">
        <v>0</v>
      </c>
      <c r="AA38" s="278">
        <v>0</v>
      </c>
      <c r="AB38" s="278">
        <v>0</v>
      </c>
      <c r="AC38" s="278">
        <v>0</v>
      </c>
      <c r="AD38" s="278">
        <v>0</v>
      </c>
      <c r="AE38" s="278">
        <v>0</v>
      </c>
      <c r="AF38" s="278">
        <v>0</v>
      </c>
    </row>
    <row r="39" spans="1:32" ht="28.5" x14ac:dyDescent="0.25">
      <c r="A39" s="166">
        <v>30</v>
      </c>
      <c r="B39" s="27" t="s">
        <v>274</v>
      </c>
      <c r="C39" s="274">
        <v>570460</v>
      </c>
      <c r="D39" s="274">
        <v>533830</v>
      </c>
      <c r="E39" s="274">
        <v>1104290</v>
      </c>
      <c r="F39" s="274">
        <v>467840</v>
      </c>
      <c r="G39" s="274">
        <v>483830</v>
      </c>
      <c r="H39" s="274">
        <v>951670</v>
      </c>
      <c r="I39" s="274">
        <v>6780</v>
      </c>
      <c r="J39" s="274">
        <v>3859</v>
      </c>
      <c r="K39" s="274">
        <v>10639</v>
      </c>
      <c r="L39" s="271">
        <v>474620</v>
      </c>
      <c r="M39" s="271">
        <v>487689</v>
      </c>
      <c r="N39" s="274">
        <v>962309</v>
      </c>
      <c r="O39" s="273">
        <v>83.199523191810115</v>
      </c>
      <c r="P39" s="273">
        <v>91.356611655395909</v>
      </c>
      <c r="Q39" s="273">
        <v>87.142779523494724</v>
      </c>
      <c r="R39" s="276">
        <v>474620</v>
      </c>
      <c r="S39" s="276">
        <v>487689</v>
      </c>
      <c r="T39" s="276">
        <v>962309</v>
      </c>
      <c r="U39" s="277"/>
      <c r="V39" s="277"/>
      <c r="W39" s="277">
        <v>0</v>
      </c>
      <c r="X39" s="277"/>
      <c r="Y39" s="277"/>
      <c r="Z39" s="277">
        <v>0</v>
      </c>
      <c r="AA39" s="278">
        <v>0</v>
      </c>
      <c r="AB39" s="278">
        <v>0</v>
      </c>
      <c r="AC39" s="278">
        <v>0</v>
      </c>
      <c r="AD39" s="278">
        <v>0</v>
      </c>
      <c r="AE39" s="278">
        <v>0</v>
      </c>
      <c r="AF39" s="278">
        <v>0</v>
      </c>
    </row>
    <row r="40" spans="1:32" ht="28.5" x14ac:dyDescent="0.25">
      <c r="A40" s="166">
        <v>31</v>
      </c>
      <c r="B40" s="284" t="s">
        <v>292</v>
      </c>
      <c r="C40" s="274">
        <v>24270</v>
      </c>
      <c r="D40" s="274">
        <v>21578</v>
      </c>
      <c r="E40" s="274">
        <v>45848</v>
      </c>
      <c r="F40" s="274">
        <v>14415</v>
      </c>
      <c r="G40" s="274">
        <v>11819</v>
      </c>
      <c r="H40" s="274">
        <v>26234</v>
      </c>
      <c r="I40" s="277">
        <v>0</v>
      </c>
      <c r="J40" s="277">
        <v>0</v>
      </c>
      <c r="K40" s="277">
        <v>0</v>
      </c>
      <c r="L40" s="271">
        <v>14415</v>
      </c>
      <c r="M40" s="271">
        <v>11819</v>
      </c>
      <c r="N40" s="274">
        <v>26234</v>
      </c>
      <c r="O40" s="273">
        <v>59.394313967861557</v>
      </c>
      <c r="P40" s="273">
        <v>54.773380294744648</v>
      </c>
      <c r="Q40" s="273">
        <v>57.219507939277612</v>
      </c>
      <c r="R40" s="276">
        <v>14415</v>
      </c>
      <c r="S40" s="276">
        <v>11819</v>
      </c>
      <c r="T40" s="276">
        <v>26234</v>
      </c>
      <c r="U40" s="295">
        <v>0</v>
      </c>
      <c r="V40" s="295">
        <v>0</v>
      </c>
      <c r="W40" s="295">
        <v>0</v>
      </c>
      <c r="X40" s="276">
        <v>1382</v>
      </c>
      <c r="Y40" s="276">
        <v>939</v>
      </c>
      <c r="Z40" s="272">
        <v>2321</v>
      </c>
      <c r="AA40" s="278">
        <v>0</v>
      </c>
      <c r="AB40" s="278">
        <v>0</v>
      </c>
      <c r="AC40" s="278">
        <v>0</v>
      </c>
      <c r="AD40" s="280">
        <v>9.5872355185570584</v>
      </c>
      <c r="AE40" s="280">
        <v>7.9448345883746514</v>
      </c>
      <c r="AF40" s="280">
        <v>8.8472974003201958</v>
      </c>
    </row>
    <row r="41" spans="1:32" ht="25.5" x14ac:dyDescent="0.25">
      <c r="A41" s="166">
        <v>32</v>
      </c>
      <c r="B41" s="296" t="s">
        <v>275</v>
      </c>
      <c r="C41" s="274">
        <v>1991950</v>
      </c>
      <c r="D41" s="274">
        <v>1555441</v>
      </c>
      <c r="E41" s="274">
        <v>3547391</v>
      </c>
      <c r="F41" s="274">
        <v>1513134</v>
      </c>
      <c r="G41" s="274">
        <v>1354437</v>
      </c>
      <c r="H41" s="274">
        <v>2867571</v>
      </c>
      <c r="I41" s="277"/>
      <c r="J41" s="277"/>
      <c r="K41" s="277"/>
      <c r="L41" s="271">
        <v>1513134</v>
      </c>
      <c r="M41" s="271">
        <v>1354437</v>
      </c>
      <c r="N41" s="274">
        <v>2867571</v>
      </c>
      <c r="O41" s="273">
        <v>75.96244885664801</v>
      </c>
      <c r="P41" s="273">
        <v>87.077362625776217</v>
      </c>
      <c r="Q41" s="273">
        <v>80.83605669631568</v>
      </c>
      <c r="R41" s="276">
        <v>1513134</v>
      </c>
      <c r="S41" s="276">
        <v>1354437</v>
      </c>
      <c r="T41" s="276">
        <v>2867571</v>
      </c>
      <c r="U41" s="286">
        <v>272342</v>
      </c>
      <c r="V41" s="286">
        <v>346166</v>
      </c>
      <c r="W41" s="272">
        <v>618508</v>
      </c>
      <c r="X41" s="276">
        <v>845754</v>
      </c>
      <c r="Y41" s="276">
        <v>799148</v>
      </c>
      <c r="Z41" s="272">
        <v>1644902</v>
      </c>
      <c r="AA41" s="280">
        <v>17.998538133436959</v>
      </c>
      <c r="AB41" s="280">
        <v>25.557925543971404</v>
      </c>
      <c r="AC41" s="280">
        <v>21.569056180300333</v>
      </c>
      <c r="AD41" s="280">
        <v>55.894190468259914</v>
      </c>
      <c r="AE41" s="280">
        <v>59.002227493785234</v>
      </c>
      <c r="AF41" s="280">
        <v>57.362206550421945</v>
      </c>
    </row>
    <row r="42" spans="1:32" ht="28.5" x14ac:dyDescent="0.25">
      <c r="A42" s="166">
        <v>33</v>
      </c>
      <c r="B42" s="27" t="s">
        <v>276</v>
      </c>
      <c r="C42" s="274">
        <v>92608</v>
      </c>
      <c r="D42" s="274">
        <v>84215</v>
      </c>
      <c r="E42" s="274">
        <v>176823</v>
      </c>
      <c r="F42" s="274">
        <v>61758</v>
      </c>
      <c r="G42" s="274">
        <v>64561</v>
      </c>
      <c r="H42" s="274">
        <v>126319</v>
      </c>
      <c r="I42" s="277"/>
      <c r="J42" s="277"/>
      <c r="K42" s="277"/>
      <c r="L42" s="271">
        <v>61758</v>
      </c>
      <c r="M42" s="271">
        <v>64561</v>
      </c>
      <c r="N42" s="274">
        <v>126319</v>
      </c>
      <c r="O42" s="273">
        <v>66.687543192812711</v>
      </c>
      <c r="P42" s="273">
        <v>76.662114825149914</v>
      </c>
      <c r="Q42" s="273">
        <v>71.438104771438105</v>
      </c>
      <c r="R42" s="276">
        <v>61758</v>
      </c>
      <c r="S42" s="276">
        <v>64561</v>
      </c>
      <c r="T42" s="276">
        <v>126319</v>
      </c>
      <c r="U42" s="286">
        <v>2198</v>
      </c>
      <c r="V42" s="286">
        <v>1589</v>
      </c>
      <c r="W42" s="272">
        <v>3787</v>
      </c>
      <c r="X42" s="276">
        <v>10536</v>
      </c>
      <c r="Y42" s="276">
        <v>14017</v>
      </c>
      <c r="Z42" s="272">
        <v>24553</v>
      </c>
      <c r="AA42" s="280">
        <v>3.5590530781437222</v>
      </c>
      <c r="AB42" s="280">
        <v>2.4612382088257618</v>
      </c>
      <c r="AC42" s="280">
        <v>2.9979654683776786</v>
      </c>
      <c r="AD42" s="280">
        <v>17.060137957835423</v>
      </c>
      <c r="AE42" s="280">
        <v>21.711249825746194</v>
      </c>
      <c r="AF42" s="280">
        <v>19.437297635351769</v>
      </c>
    </row>
    <row r="43" spans="1:32" ht="28.5" x14ac:dyDescent="0.25">
      <c r="A43" s="166">
        <v>34</v>
      </c>
      <c r="B43" s="27" t="s">
        <v>172</v>
      </c>
      <c r="C43" s="274">
        <v>447050</v>
      </c>
      <c r="D43" s="274">
        <v>474442</v>
      </c>
      <c r="E43" s="274">
        <v>921492</v>
      </c>
      <c r="F43" s="274">
        <v>385863</v>
      </c>
      <c r="G43" s="274">
        <v>367912</v>
      </c>
      <c r="H43" s="274">
        <v>753775</v>
      </c>
      <c r="I43" s="277"/>
      <c r="J43" s="277"/>
      <c r="K43" s="277"/>
      <c r="L43" s="271">
        <v>385863</v>
      </c>
      <c r="M43" s="271">
        <v>367912</v>
      </c>
      <c r="N43" s="274">
        <v>753775</v>
      </c>
      <c r="O43" s="273">
        <v>86.31316407560675</v>
      </c>
      <c r="P43" s="273">
        <v>77.5462543366734</v>
      </c>
      <c r="Q43" s="273">
        <v>81.799407916726352</v>
      </c>
      <c r="R43" s="276">
        <v>385863</v>
      </c>
      <c r="S43" s="276">
        <v>367912</v>
      </c>
      <c r="T43" s="276">
        <v>753775</v>
      </c>
      <c r="U43" s="277"/>
      <c r="V43" s="277"/>
      <c r="W43" s="277">
        <v>0</v>
      </c>
      <c r="X43" s="277"/>
      <c r="Y43" s="277"/>
      <c r="Z43" s="277">
        <v>0</v>
      </c>
      <c r="AA43" s="278"/>
      <c r="AB43" s="278"/>
      <c r="AC43" s="278"/>
      <c r="AD43" s="278"/>
      <c r="AE43" s="278"/>
      <c r="AF43" s="278"/>
    </row>
    <row r="44" spans="1:32" ht="28.5" x14ac:dyDescent="0.25">
      <c r="A44" s="267">
        <v>35</v>
      </c>
      <c r="B44" s="80" t="s">
        <v>277</v>
      </c>
      <c r="C44" s="300">
        <v>16650</v>
      </c>
      <c r="D44" s="300">
        <v>29007</v>
      </c>
      <c r="E44" s="300">
        <v>45657</v>
      </c>
      <c r="F44" s="300">
        <v>14093</v>
      </c>
      <c r="G44" s="300">
        <v>21678</v>
      </c>
      <c r="H44" s="300">
        <v>35771</v>
      </c>
      <c r="I44" s="300">
        <v>554</v>
      </c>
      <c r="J44" s="300">
        <v>1457</v>
      </c>
      <c r="K44" s="300">
        <v>2011</v>
      </c>
      <c r="L44" s="297">
        <v>14647</v>
      </c>
      <c r="M44" s="297">
        <v>23135</v>
      </c>
      <c r="N44" s="300">
        <v>37782</v>
      </c>
      <c r="O44" s="299">
        <v>87.969969969969981</v>
      </c>
      <c r="P44" s="299">
        <v>79.756610473334021</v>
      </c>
      <c r="Q44" s="299">
        <v>82.751823378671389</v>
      </c>
      <c r="R44" s="301">
        <v>14647</v>
      </c>
      <c r="S44" s="301">
        <v>23135</v>
      </c>
      <c r="T44" s="301">
        <v>37782</v>
      </c>
      <c r="U44" s="302">
        <v>306</v>
      </c>
      <c r="V44" s="302">
        <v>178</v>
      </c>
      <c r="W44" s="298">
        <v>484</v>
      </c>
      <c r="X44" s="301">
        <v>1473</v>
      </c>
      <c r="Y44" s="301">
        <v>1058</v>
      </c>
      <c r="Z44" s="298">
        <v>2531</v>
      </c>
      <c r="AA44" s="303">
        <v>2.0891650167269749</v>
      </c>
      <c r="AB44" s="303">
        <v>0.76939701750594336</v>
      </c>
      <c r="AC44" s="303">
        <v>1.2810332962786513</v>
      </c>
      <c r="AD44" s="303">
        <v>10.056666894244556</v>
      </c>
      <c r="AE44" s="303">
        <v>4.5731575534903826</v>
      </c>
      <c r="AF44" s="303">
        <v>6.6989571753745167</v>
      </c>
    </row>
    <row r="45" spans="1:32" x14ac:dyDescent="0.25">
      <c r="A45" s="527" t="s">
        <v>256</v>
      </c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7"/>
      <c r="V45" s="527"/>
      <c r="W45" s="527"/>
      <c r="X45" s="527"/>
      <c r="Y45" s="527"/>
      <c r="Z45" s="527"/>
      <c r="AA45" s="527"/>
      <c r="AB45" s="527"/>
      <c r="AC45" s="527"/>
      <c r="AD45" s="527"/>
      <c r="AE45" s="527"/>
      <c r="AF45" s="527"/>
    </row>
    <row r="46" spans="1:32" ht="28.5" x14ac:dyDescent="0.25">
      <c r="A46" s="166">
        <v>1</v>
      </c>
      <c r="B46" s="27" t="s">
        <v>249</v>
      </c>
      <c r="C46" s="169">
        <v>204970</v>
      </c>
      <c r="D46" s="169">
        <v>86747</v>
      </c>
      <c r="E46" s="170">
        <v>291717</v>
      </c>
      <c r="F46" s="169">
        <v>114454</v>
      </c>
      <c r="G46" s="169">
        <v>47832</v>
      </c>
      <c r="H46" s="170">
        <v>162286</v>
      </c>
      <c r="I46" s="169"/>
      <c r="J46" s="169"/>
      <c r="K46" s="170"/>
      <c r="L46" s="169">
        <v>114454</v>
      </c>
      <c r="M46" s="169">
        <v>47832</v>
      </c>
      <c r="N46" s="170">
        <v>162286</v>
      </c>
      <c r="O46" s="169">
        <f>+L46/C46%</f>
        <v>55.839391130409332</v>
      </c>
      <c r="P46" s="169">
        <f t="shared" ref="P46:Q46" si="0">+M46/D46%</f>
        <v>55.13965900838069</v>
      </c>
      <c r="Q46" s="169">
        <f t="shared" si="0"/>
        <v>55.631313910399463</v>
      </c>
      <c r="R46" s="214">
        <v>114454</v>
      </c>
      <c r="S46" s="214">
        <v>47832</v>
      </c>
      <c r="T46" s="214">
        <v>162286</v>
      </c>
      <c r="U46" s="214">
        <v>1187</v>
      </c>
      <c r="V46" s="214">
        <v>576</v>
      </c>
      <c r="W46" s="214">
        <v>1763</v>
      </c>
      <c r="X46" s="214">
        <v>17977</v>
      </c>
      <c r="Y46" s="214">
        <v>6795</v>
      </c>
      <c r="Z46" s="214">
        <v>24772</v>
      </c>
      <c r="AA46" s="312">
        <v>1.0370978733814458</v>
      </c>
      <c r="AB46" s="312">
        <v>1.2042147516307076</v>
      </c>
      <c r="AC46" s="312">
        <v>1.0863537212082375</v>
      </c>
      <c r="AD46" s="312">
        <v>15.70674681531445</v>
      </c>
      <c r="AE46" s="312">
        <v>14.205970898143503</v>
      </c>
      <c r="AF46" s="312">
        <v>15.26440974575749</v>
      </c>
    </row>
    <row r="47" spans="1:32" x14ac:dyDescent="0.25">
      <c r="A47" s="166">
        <v>2</v>
      </c>
      <c r="B47" s="53" t="s">
        <v>294</v>
      </c>
      <c r="C47" s="264">
        <v>72552</v>
      </c>
      <c r="D47" s="264">
        <v>32938</v>
      </c>
      <c r="E47" s="170">
        <v>105490</v>
      </c>
      <c r="F47" s="264">
        <v>38513</v>
      </c>
      <c r="G47" s="264">
        <v>19319</v>
      </c>
      <c r="H47" s="170">
        <v>57832</v>
      </c>
      <c r="I47" s="313"/>
      <c r="J47" s="313"/>
      <c r="K47" s="170"/>
      <c r="L47" s="264">
        <v>38513</v>
      </c>
      <c r="M47" s="264">
        <v>19319</v>
      </c>
      <c r="N47" s="170">
        <v>57832</v>
      </c>
      <c r="O47" s="169">
        <f t="shared" ref="O47:Q52" si="1">+L47/C47%</f>
        <v>53.083305766898228</v>
      </c>
      <c r="P47" s="169">
        <f t="shared" ref="P47:P51" si="2">+M47/D47%</f>
        <v>58.65262007407857</v>
      </c>
      <c r="Q47" s="169">
        <f t="shared" ref="Q47:Q51" si="3">+N47/E47%</f>
        <v>54.822258033936862</v>
      </c>
      <c r="R47" s="170">
        <v>38513</v>
      </c>
      <c r="S47" s="170">
        <v>19319</v>
      </c>
      <c r="T47" s="170">
        <v>57832</v>
      </c>
      <c r="U47" s="170">
        <v>205</v>
      </c>
      <c r="V47" s="170">
        <v>166</v>
      </c>
      <c r="W47" s="214">
        <v>371</v>
      </c>
      <c r="X47" s="170">
        <v>6071</v>
      </c>
      <c r="Y47" s="170">
        <v>3994</v>
      </c>
      <c r="Z47" s="214">
        <v>10065</v>
      </c>
      <c r="AA47" s="312">
        <v>0.5322877989250383</v>
      </c>
      <c r="AB47" s="312">
        <v>0.85925772555515301</v>
      </c>
      <c r="AC47" s="312">
        <v>0.64151334901092816</v>
      </c>
      <c r="AD47" s="312">
        <v>15.763508425726378</v>
      </c>
      <c r="AE47" s="312">
        <v>20.673947926911332</v>
      </c>
      <c r="AF47" s="312">
        <v>17.403859454973023</v>
      </c>
    </row>
    <row r="48" spans="1:32" x14ac:dyDescent="0.25">
      <c r="A48" s="166">
        <v>3</v>
      </c>
      <c r="B48" s="35" t="s">
        <v>251</v>
      </c>
      <c r="C48" s="169">
        <v>45786</v>
      </c>
      <c r="D48" s="169">
        <v>36567</v>
      </c>
      <c r="E48" s="170">
        <v>82353</v>
      </c>
      <c r="F48" s="169">
        <v>30810</v>
      </c>
      <c r="G48" s="169">
        <v>26259</v>
      </c>
      <c r="H48" s="170">
        <v>57069</v>
      </c>
      <c r="I48" s="169"/>
      <c r="J48" s="169"/>
      <c r="K48" s="170"/>
      <c r="L48" s="169">
        <v>30810</v>
      </c>
      <c r="M48" s="169">
        <v>26259</v>
      </c>
      <c r="N48" s="170">
        <v>57069</v>
      </c>
      <c r="O48" s="169">
        <f t="shared" si="1"/>
        <v>67.291311754684841</v>
      </c>
      <c r="P48" s="169">
        <f t="shared" si="2"/>
        <v>71.81064894577078</v>
      </c>
      <c r="Q48" s="169">
        <f t="shared" si="3"/>
        <v>69.298021929984344</v>
      </c>
      <c r="R48" s="214">
        <v>30810</v>
      </c>
      <c r="S48" s="214">
        <v>26259</v>
      </c>
      <c r="T48" s="214">
        <v>57069</v>
      </c>
      <c r="U48" s="176"/>
      <c r="V48" s="176"/>
      <c r="W48" s="176">
        <v>0</v>
      </c>
      <c r="X48" s="176"/>
      <c r="Y48" s="176"/>
      <c r="Z48" s="176">
        <v>0</v>
      </c>
      <c r="AA48" s="215">
        <v>0</v>
      </c>
      <c r="AB48" s="215">
        <v>0</v>
      </c>
      <c r="AC48" s="215">
        <v>0</v>
      </c>
      <c r="AD48" s="215">
        <v>0</v>
      </c>
      <c r="AE48" s="215">
        <v>0</v>
      </c>
      <c r="AF48" s="215">
        <v>0</v>
      </c>
    </row>
    <row r="49" spans="1:32" ht="28.5" x14ac:dyDescent="0.25">
      <c r="A49" s="166">
        <v>4</v>
      </c>
      <c r="B49" s="35" t="s">
        <v>252</v>
      </c>
      <c r="C49" s="169">
        <v>45464</v>
      </c>
      <c r="D49" s="169">
        <v>32193</v>
      </c>
      <c r="E49" s="170">
        <v>77657</v>
      </c>
      <c r="F49" s="169">
        <v>22931</v>
      </c>
      <c r="G49" s="169">
        <v>17776</v>
      </c>
      <c r="H49" s="170">
        <v>40707</v>
      </c>
      <c r="I49" s="169"/>
      <c r="J49" s="169"/>
      <c r="K49" s="170"/>
      <c r="L49" s="169">
        <v>22931</v>
      </c>
      <c r="M49" s="169">
        <v>17776</v>
      </c>
      <c r="N49" s="170">
        <v>40707</v>
      </c>
      <c r="O49" s="169">
        <f t="shared" si="1"/>
        <v>50.437708956537044</v>
      </c>
      <c r="P49" s="169">
        <f t="shared" si="2"/>
        <v>55.216972633802378</v>
      </c>
      <c r="Q49" s="169">
        <f t="shared" si="3"/>
        <v>52.418970601491168</v>
      </c>
      <c r="R49" s="214">
        <v>22931</v>
      </c>
      <c r="S49" s="214">
        <v>17776</v>
      </c>
      <c r="T49" s="214">
        <v>40707</v>
      </c>
      <c r="U49" s="214">
        <v>14</v>
      </c>
      <c r="V49" s="214">
        <v>12</v>
      </c>
      <c r="W49" s="214">
        <v>26</v>
      </c>
      <c r="X49" s="214">
        <v>2048</v>
      </c>
      <c r="Y49" s="214">
        <v>1596</v>
      </c>
      <c r="Z49" s="214">
        <v>3644</v>
      </c>
      <c r="AA49" s="312">
        <v>6.1052723387553964E-2</v>
      </c>
      <c r="AB49" s="312">
        <v>6.7506750675067506E-2</v>
      </c>
      <c r="AC49" s="312">
        <v>6.3871078684255775E-2</v>
      </c>
      <c r="AD49" s="312">
        <v>8.9311412498364664</v>
      </c>
      <c r="AE49" s="312">
        <v>8.9783978397839785</v>
      </c>
      <c r="AF49" s="312">
        <v>8.9517773355933876</v>
      </c>
    </row>
    <row r="50" spans="1:32" ht="28.5" x14ac:dyDescent="0.25">
      <c r="A50" s="166">
        <v>5</v>
      </c>
      <c r="B50" s="27" t="s">
        <v>295</v>
      </c>
      <c r="C50" s="167">
        <v>18786</v>
      </c>
      <c r="D50" s="167">
        <v>16960</v>
      </c>
      <c r="E50" s="168">
        <v>35746</v>
      </c>
      <c r="F50" s="167">
        <v>9071</v>
      </c>
      <c r="G50" s="167">
        <v>10801</v>
      </c>
      <c r="H50" s="168">
        <v>19872</v>
      </c>
      <c r="I50" s="176"/>
      <c r="J50" s="176"/>
      <c r="K50" s="176"/>
      <c r="L50" s="167">
        <v>9071</v>
      </c>
      <c r="M50" s="167">
        <v>10801</v>
      </c>
      <c r="N50" s="168">
        <v>19872</v>
      </c>
      <c r="O50" s="169">
        <f t="shared" si="1"/>
        <v>48.28595762802086</v>
      </c>
      <c r="P50" s="169">
        <f t="shared" si="2"/>
        <v>63.685141509433961</v>
      </c>
      <c r="Q50" s="169">
        <f t="shared" si="3"/>
        <v>55.592234096122645</v>
      </c>
      <c r="R50" s="214">
        <v>9071</v>
      </c>
      <c r="S50" s="214">
        <v>10801</v>
      </c>
      <c r="T50" s="214">
        <v>19872</v>
      </c>
      <c r="U50" s="176"/>
      <c r="V50" s="176"/>
      <c r="W50" s="176"/>
      <c r="X50" s="176"/>
      <c r="Y50" s="176"/>
      <c r="Z50" s="176">
        <v>0</v>
      </c>
      <c r="AA50" s="215"/>
      <c r="AB50" s="215"/>
      <c r="AC50" s="215"/>
      <c r="AD50" s="215"/>
      <c r="AE50" s="215"/>
      <c r="AF50" s="215"/>
    </row>
    <row r="51" spans="1:32" ht="28.5" x14ac:dyDescent="0.25">
      <c r="A51" s="267">
        <v>6</v>
      </c>
      <c r="B51" s="80" t="s">
        <v>311</v>
      </c>
      <c r="C51" s="188">
        <v>10053</v>
      </c>
      <c r="D51" s="188">
        <v>7347</v>
      </c>
      <c r="E51" s="170">
        <v>17400</v>
      </c>
      <c r="F51" s="188">
        <v>4347</v>
      </c>
      <c r="G51" s="188">
        <v>6861</v>
      </c>
      <c r="H51" s="170">
        <v>11208</v>
      </c>
      <c r="I51" s="188"/>
      <c r="J51" s="188"/>
      <c r="K51" s="170"/>
      <c r="L51" s="188">
        <v>4347</v>
      </c>
      <c r="M51" s="188">
        <v>6861</v>
      </c>
      <c r="N51" s="170">
        <v>11208</v>
      </c>
      <c r="O51" s="169">
        <f t="shared" si="1"/>
        <v>43.240823634735897</v>
      </c>
      <c r="P51" s="169">
        <f t="shared" si="2"/>
        <v>93.385055124540628</v>
      </c>
      <c r="Q51" s="169">
        <f t="shared" si="3"/>
        <v>64.41379310344827</v>
      </c>
      <c r="R51" s="211">
        <v>4347</v>
      </c>
      <c r="S51" s="211">
        <v>6861</v>
      </c>
      <c r="T51" s="211">
        <v>11208</v>
      </c>
      <c r="U51" s="191"/>
      <c r="V51" s="191"/>
      <c r="W51" s="191"/>
      <c r="X51" s="213">
        <v>675</v>
      </c>
      <c r="Y51" s="213">
        <v>1114</v>
      </c>
      <c r="Z51" s="214">
        <v>1789</v>
      </c>
      <c r="AA51" s="215">
        <v>0</v>
      </c>
      <c r="AB51" s="215">
        <v>0</v>
      </c>
      <c r="AC51" s="215">
        <v>0</v>
      </c>
      <c r="AD51" s="216">
        <v>15.527950310559007</v>
      </c>
      <c r="AE51" s="216">
        <v>16.236700189476753</v>
      </c>
      <c r="AF51" s="216">
        <v>15.961812990720913</v>
      </c>
    </row>
    <row r="52" spans="1:32" x14ac:dyDescent="0.25">
      <c r="A52" s="526" t="s">
        <v>3</v>
      </c>
      <c r="B52" s="526"/>
      <c r="C52" s="217">
        <f>SUM(C9:C51)</f>
        <v>10904655</v>
      </c>
      <c r="D52" s="217">
        <f t="shared" ref="D52:N52" si="4">SUM(D9:D51)</f>
        <v>8829960</v>
      </c>
      <c r="E52" s="217">
        <f t="shared" si="4"/>
        <v>19734615</v>
      </c>
      <c r="F52" s="217">
        <f t="shared" si="4"/>
        <v>7957567</v>
      </c>
      <c r="G52" s="217">
        <f t="shared" si="4"/>
        <v>6819335</v>
      </c>
      <c r="H52" s="217">
        <f t="shared" si="4"/>
        <v>14776902</v>
      </c>
      <c r="I52" s="217">
        <f t="shared" si="4"/>
        <v>300149</v>
      </c>
      <c r="J52" s="217">
        <f t="shared" si="4"/>
        <v>242437</v>
      </c>
      <c r="K52" s="217">
        <f t="shared" si="4"/>
        <v>542586</v>
      </c>
      <c r="L52" s="217">
        <f t="shared" si="4"/>
        <v>8257716</v>
      </c>
      <c r="M52" s="217">
        <f t="shared" si="4"/>
        <v>7061772</v>
      </c>
      <c r="N52" s="217">
        <f t="shared" si="4"/>
        <v>15319488</v>
      </c>
      <c r="O52" s="218">
        <f t="shared" si="1"/>
        <v>75.726522297129065</v>
      </c>
      <c r="P52" s="218">
        <f t="shared" si="1"/>
        <v>79.975130125164782</v>
      </c>
      <c r="Q52" s="218">
        <f t="shared" si="1"/>
        <v>77.627498686951839</v>
      </c>
      <c r="R52" s="217">
        <f t="shared" ref="R52:Z52" si="5">SUM(R9:R51)</f>
        <v>8257716</v>
      </c>
      <c r="S52" s="217">
        <f t="shared" si="5"/>
        <v>7061772</v>
      </c>
      <c r="T52" s="217">
        <f t="shared" si="5"/>
        <v>15319488</v>
      </c>
      <c r="U52" s="217">
        <f t="shared" si="5"/>
        <v>878119</v>
      </c>
      <c r="V52" s="217">
        <f t="shared" si="5"/>
        <v>955311</v>
      </c>
      <c r="W52" s="217">
        <f t="shared" si="5"/>
        <v>1833430</v>
      </c>
      <c r="X52" s="217">
        <f t="shared" si="5"/>
        <v>2100518</v>
      </c>
      <c r="Y52" s="217">
        <f t="shared" si="5"/>
        <v>1914948</v>
      </c>
      <c r="Z52" s="217">
        <f t="shared" si="5"/>
        <v>4015466</v>
      </c>
      <c r="AA52" s="219">
        <f>+U52/R52%</f>
        <v>10.633921050324327</v>
      </c>
      <c r="AB52" s="219">
        <f t="shared" ref="AB52:AC52" si="6">+V52/S52%</f>
        <v>13.527921887027789</v>
      </c>
      <c r="AC52" s="219">
        <f t="shared" si="6"/>
        <v>11.967958720291435</v>
      </c>
      <c r="AD52" s="219">
        <f>+X52/R52%</f>
        <v>25.437033678561964</v>
      </c>
      <c r="AE52" s="219">
        <f t="shared" ref="AE52:AF52" si="7">+Y52/S52%</f>
        <v>27.117103185999209</v>
      </c>
      <c r="AF52" s="219">
        <f t="shared" si="7"/>
        <v>26.211489574586302</v>
      </c>
    </row>
    <row r="53" spans="1:32" x14ac:dyDescent="0.25">
      <c r="A53" s="304"/>
      <c r="B53" s="305"/>
      <c r="C53" s="307" t="s">
        <v>278</v>
      </c>
      <c r="D53" s="305"/>
      <c r="E53" s="305"/>
      <c r="F53" s="305"/>
      <c r="G53" s="305"/>
      <c r="H53" s="305"/>
      <c r="I53" s="305"/>
      <c r="J53" s="305"/>
      <c r="K53" s="305"/>
      <c r="L53" s="305"/>
      <c r="M53" s="305"/>
      <c r="N53" s="305"/>
      <c r="O53" s="306"/>
      <c r="P53" s="306"/>
      <c r="Q53" s="306"/>
      <c r="R53" s="307" t="s">
        <v>278</v>
      </c>
      <c r="S53" s="305"/>
      <c r="T53" s="305"/>
      <c r="U53" s="305"/>
      <c r="V53" s="305"/>
      <c r="W53" s="305"/>
      <c r="X53" s="305"/>
      <c r="Y53" s="305"/>
      <c r="Z53" s="306"/>
      <c r="AA53" s="305"/>
      <c r="AB53" s="305"/>
      <c r="AC53" s="305"/>
      <c r="AD53" s="305"/>
      <c r="AE53" s="305"/>
      <c r="AF53" s="305"/>
    </row>
    <row r="54" spans="1:32" x14ac:dyDescent="0.25">
      <c r="A54" s="308"/>
      <c r="B54" s="309"/>
      <c r="C54" s="307" t="s">
        <v>248</v>
      </c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10"/>
      <c r="P54" s="310"/>
      <c r="Q54" s="310"/>
      <c r="R54" s="307" t="s">
        <v>248</v>
      </c>
      <c r="S54" s="309"/>
      <c r="T54" s="309"/>
      <c r="U54" s="309"/>
      <c r="V54" s="309"/>
      <c r="W54" s="309"/>
      <c r="X54" s="309"/>
      <c r="Y54" s="309"/>
      <c r="Z54" s="310"/>
      <c r="AA54" s="309"/>
      <c r="AB54" s="309"/>
      <c r="AC54" s="309"/>
      <c r="AD54" s="309"/>
      <c r="AE54" s="309"/>
      <c r="AF54" s="309"/>
    </row>
    <row r="55" spans="1:32" x14ac:dyDescent="0.25">
      <c r="A55" s="311"/>
      <c r="B55" s="309"/>
      <c r="C55" s="307" t="s">
        <v>228</v>
      </c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10"/>
      <c r="P55" s="310"/>
      <c r="Q55" s="310"/>
      <c r="R55" s="307" t="s">
        <v>228</v>
      </c>
      <c r="S55" s="309"/>
      <c r="T55" s="309"/>
      <c r="U55" s="309"/>
      <c r="V55" s="309"/>
      <c r="W55" s="309"/>
      <c r="X55" s="309"/>
      <c r="Y55" s="309"/>
      <c r="Z55" s="310"/>
      <c r="AA55" s="309"/>
      <c r="AB55" s="309"/>
      <c r="AC55" s="309"/>
      <c r="AD55" s="309"/>
      <c r="AE55" s="309"/>
      <c r="AF55" s="309"/>
    </row>
    <row r="56" spans="1:32" x14ac:dyDescent="0.25">
      <c r="A56" s="311"/>
      <c r="B56" s="309"/>
      <c r="C56" s="344" t="s">
        <v>312</v>
      </c>
      <c r="D56" s="144"/>
      <c r="E56" s="144"/>
      <c r="F56" s="144"/>
      <c r="G56" s="144"/>
      <c r="H56" s="309"/>
      <c r="I56" s="309"/>
      <c r="J56" s="309"/>
      <c r="K56" s="309"/>
      <c r="L56" s="309"/>
      <c r="M56" s="309"/>
      <c r="N56" s="309"/>
      <c r="O56" s="310"/>
      <c r="P56" s="310"/>
      <c r="Q56" s="310"/>
      <c r="R56" s="344" t="s">
        <v>312</v>
      </c>
      <c r="S56" s="144"/>
      <c r="T56" s="144"/>
      <c r="U56" s="144"/>
      <c r="V56" s="144"/>
      <c r="W56" s="309"/>
      <c r="X56" s="309"/>
      <c r="Y56" s="309"/>
      <c r="Z56" s="310"/>
      <c r="AA56" s="309"/>
      <c r="AB56" s="309"/>
      <c r="AC56" s="309"/>
      <c r="AD56" s="309"/>
      <c r="AE56" s="309"/>
      <c r="AF56" s="309"/>
    </row>
    <row r="57" spans="1:32" x14ac:dyDescent="0.25">
      <c r="A57" s="311"/>
      <c r="B57" s="309"/>
      <c r="C57" s="199" t="s">
        <v>293</v>
      </c>
      <c r="D57" s="309"/>
      <c r="E57" s="309"/>
      <c r="F57" s="309"/>
      <c r="G57" s="309"/>
      <c r="H57" s="310"/>
      <c r="I57" s="309"/>
      <c r="J57" s="309"/>
      <c r="R57" s="199" t="s">
        <v>293</v>
      </c>
      <c r="S57" s="309"/>
      <c r="T57" s="309"/>
      <c r="U57" s="309"/>
      <c r="V57" s="309"/>
      <c r="W57" s="310"/>
      <c r="X57" s="309"/>
      <c r="Y57" s="309"/>
    </row>
    <row r="58" spans="1:32" x14ac:dyDescent="0.25">
      <c r="A58" s="204"/>
      <c r="B58" s="144"/>
      <c r="C58" s="368" t="s">
        <v>332</v>
      </c>
      <c r="D58" s="368"/>
      <c r="E58" s="368"/>
      <c r="F58" s="369" t="s">
        <v>333</v>
      </c>
      <c r="G58" s="368"/>
      <c r="H58" s="368"/>
      <c r="I58" s="368"/>
      <c r="R58" s="368" t="s">
        <v>332</v>
      </c>
      <c r="S58" s="368"/>
      <c r="T58" s="368"/>
      <c r="U58" s="369" t="s">
        <v>333</v>
      </c>
      <c r="V58" s="368"/>
      <c r="W58" s="368"/>
      <c r="X58" s="368"/>
    </row>
    <row r="59" spans="1:32" x14ac:dyDescent="0.25">
      <c r="A59" s="204"/>
    </row>
    <row r="60" spans="1:32" x14ac:dyDescent="0.25">
      <c r="A60" s="204"/>
    </row>
    <row r="61" spans="1:32" x14ac:dyDescent="0.25">
      <c r="A61" s="204"/>
    </row>
    <row r="62" spans="1:32" x14ac:dyDescent="0.25">
      <c r="A62" s="204"/>
    </row>
    <row r="63" spans="1:32" x14ac:dyDescent="0.25">
      <c r="A63" s="204"/>
    </row>
    <row r="64" spans="1:32" x14ac:dyDescent="0.25">
      <c r="A64" s="204"/>
    </row>
    <row r="65" spans="1:2" x14ac:dyDescent="0.25">
      <c r="A65" s="204"/>
    </row>
    <row r="66" spans="1:2" x14ac:dyDescent="0.25">
      <c r="A66" s="204"/>
    </row>
    <row r="67" spans="1:2" x14ac:dyDescent="0.25">
      <c r="A67" s="204"/>
      <c r="B67" s="144"/>
    </row>
    <row r="68" spans="1:2" x14ac:dyDescent="0.25">
      <c r="A68" s="204"/>
      <c r="B68" s="144"/>
    </row>
    <row r="69" spans="1:2" x14ac:dyDescent="0.25">
      <c r="A69" s="204"/>
      <c r="B69" s="144"/>
    </row>
    <row r="70" spans="1:2" x14ac:dyDescent="0.25">
      <c r="A70" s="204"/>
      <c r="B70" s="144"/>
    </row>
    <row r="71" spans="1:2" x14ac:dyDescent="0.25">
      <c r="A71" s="204"/>
      <c r="B71" s="144"/>
    </row>
    <row r="72" spans="1:2" x14ac:dyDescent="0.25">
      <c r="A72" s="204"/>
      <c r="B72" s="144"/>
    </row>
    <row r="73" spans="1:2" x14ac:dyDescent="0.25">
      <c r="A73" s="204"/>
      <c r="B73" s="144"/>
    </row>
    <row r="74" spans="1:2" x14ac:dyDescent="0.25">
      <c r="A74" s="204"/>
      <c r="B74" s="144"/>
    </row>
    <row r="75" spans="1:2" x14ac:dyDescent="0.25">
      <c r="A75" s="204"/>
      <c r="B75" s="144"/>
    </row>
    <row r="76" spans="1:2" x14ac:dyDescent="0.25">
      <c r="A76" s="204"/>
      <c r="B76" s="144"/>
    </row>
    <row r="77" spans="1:2" x14ac:dyDescent="0.25">
      <c r="A77" s="204"/>
      <c r="B77" s="144"/>
    </row>
    <row r="78" spans="1:2" x14ac:dyDescent="0.25">
      <c r="A78" s="204"/>
      <c r="B78" s="144"/>
    </row>
    <row r="79" spans="1:2" x14ac:dyDescent="0.25">
      <c r="A79" s="204"/>
      <c r="B79" s="144"/>
    </row>
    <row r="80" spans="1:2" x14ac:dyDescent="0.25">
      <c r="A80" s="204"/>
      <c r="B80" s="144"/>
    </row>
    <row r="81" spans="1:2" x14ac:dyDescent="0.25">
      <c r="A81" s="204"/>
      <c r="B81" s="144"/>
    </row>
    <row r="82" spans="1:2" x14ac:dyDescent="0.25">
      <c r="A82" s="204"/>
      <c r="B82" s="144"/>
    </row>
    <row r="83" spans="1:2" x14ac:dyDescent="0.25">
      <c r="A83" s="204"/>
      <c r="B83" s="144"/>
    </row>
    <row r="84" spans="1:2" x14ac:dyDescent="0.25">
      <c r="A84" s="204"/>
      <c r="B84" s="144"/>
    </row>
    <row r="85" spans="1:2" x14ac:dyDescent="0.25">
      <c r="A85" s="204"/>
      <c r="B85" s="144"/>
    </row>
    <row r="86" spans="1:2" x14ac:dyDescent="0.25">
      <c r="A86" s="204"/>
      <c r="B86" s="144"/>
    </row>
    <row r="87" spans="1:2" x14ac:dyDescent="0.25">
      <c r="A87" s="204"/>
      <c r="B87" s="144"/>
    </row>
    <row r="88" spans="1:2" x14ac:dyDescent="0.25">
      <c r="A88" s="204"/>
      <c r="B88" s="144"/>
    </row>
    <row r="89" spans="1:2" x14ac:dyDescent="0.25">
      <c r="A89" s="204"/>
      <c r="B89" s="144"/>
    </row>
    <row r="90" spans="1:2" x14ac:dyDescent="0.25">
      <c r="A90" s="204"/>
      <c r="B90" s="144"/>
    </row>
    <row r="91" spans="1:2" x14ac:dyDescent="0.25">
      <c r="A91" s="204"/>
      <c r="B91" s="144"/>
    </row>
    <row r="92" spans="1:2" x14ac:dyDescent="0.25">
      <c r="A92" s="204"/>
      <c r="B92" s="144"/>
    </row>
    <row r="93" spans="1:2" x14ac:dyDescent="0.25">
      <c r="A93" s="204"/>
      <c r="B93" s="144"/>
    </row>
    <row r="94" spans="1:2" x14ac:dyDescent="0.25">
      <c r="A94" s="204"/>
      <c r="B94" s="144"/>
    </row>
  </sheetData>
  <mergeCells count="40">
    <mergeCell ref="A3:A6"/>
    <mergeCell ref="B3:B6"/>
    <mergeCell ref="C3:N3"/>
    <mergeCell ref="C2:Q2"/>
    <mergeCell ref="C1:Q1"/>
    <mergeCell ref="C4:E5"/>
    <mergeCell ref="F4:N4"/>
    <mergeCell ref="F5:H5"/>
    <mergeCell ref="I5:K5"/>
    <mergeCell ref="L5:N5"/>
    <mergeCell ref="R3:T5"/>
    <mergeCell ref="U3:Z4"/>
    <mergeCell ref="AA3:AF4"/>
    <mergeCell ref="AD5:AF5"/>
    <mergeCell ref="O3:Q5"/>
    <mergeCell ref="U5:W5"/>
    <mergeCell ref="X5:Z5"/>
    <mergeCell ref="AA5:AC5"/>
    <mergeCell ref="AA45:AB45"/>
    <mergeCell ref="A11:B11"/>
    <mergeCell ref="C11:Q11"/>
    <mergeCell ref="R8:AF8"/>
    <mergeCell ref="A8:B8"/>
    <mergeCell ref="C8:Q8"/>
    <mergeCell ref="AC45:AD45"/>
    <mergeCell ref="AE45:AF45"/>
    <mergeCell ref="K45:L45"/>
    <mergeCell ref="M45:N45"/>
    <mergeCell ref="O45:P45"/>
    <mergeCell ref="Q45:R45"/>
    <mergeCell ref="S45:T45"/>
    <mergeCell ref="U45:V45"/>
    <mergeCell ref="W45:X45"/>
    <mergeCell ref="Y45:Z45"/>
    <mergeCell ref="A52:B52"/>
    <mergeCell ref="C45:D45"/>
    <mergeCell ref="E45:F45"/>
    <mergeCell ref="G45:H45"/>
    <mergeCell ref="I45:J45"/>
    <mergeCell ref="A45:B45"/>
  </mergeCells>
  <hyperlinks>
    <hyperlink ref="F58" r:id="rId1" xr:uid="{00000000-0004-0000-0B00-000000000000}"/>
    <hyperlink ref="U58" r:id="rId2" xr:uid="{00000000-0004-0000-0B00-000001000000}"/>
  </hyperlinks>
  <pageMargins left="0.70866141732283472" right="0.70866141732283472" top="0.74803149606299213" bottom="0.74803149606299213" header="0.31496062992125984" footer="0.31496062992125984"/>
  <pageSetup paperSize="9" scale="65" firstPageNumber="77" orientation="landscape" useFirstPageNumber="1" r:id="rId3"/>
  <headerFooter>
    <oddFooter>Page &amp;P</oddFooter>
  </headerFooter>
  <rowBreaks count="1" manualBreakCount="1">
    <brk id="34" max="16383" man="1"/>
  </rowBreaks>
  <colBreaks count="1" manualBreakCount="1">
    <brk id="1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93"/>
  <sheetViews>
    <sheetView view="pageBreakPreview" zoomScale="60" workbookViewId="0">
      <selection activeCell="S9" sqref="S9"/>
    </sheetView>
  </sheetViews>
  <sheetFormatPr defaultRowHeight="15" x14ac:dyDescent="0.25"/>
  <cols>
    <col min="2" max="2" width="37.42578125" customWidth="1"/>
    <col min="3" max="3" width="12.140625" customWidth="1"/>
    <col min="4" max="4" width="10.28515625" bestFit="1" customWidth="1"/>
    <col min="5" max="5" width="11.5703125" bestFit="1" customWidth="1"/>
    <col min="6" max="7" width="10.28515625" bestFit="1" customWidth="1"/>
    <col min="8" max="8" width="11.5703125" bestFit="1" customWidth="1"/>
    <col min="12" max="13" width="10.28515625" bestFit="1" customWidth="1"/>
    <col min="14" max="14" width="11.5703125" bestFit="1" customWidth="1"/>
  </cols>
  <sheetData>
    <row r="1" spans="1:32" ht="18" customHeight="1" x14ac:dyDescent="0.25">
      <c r="A1" s="144"/>
      <c r="B1" s="163"/>
      <c r="C1" s="511" t="s">
        <v>297</v>
      </c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157" t="s">
        <v>297</v>
      </c>
      <c r="S1" s="157"/>
      <c r="T1" s="157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</row>
    <row r="2" spans="1:32" ht="15.75" customHeight="1" x14ac:dyDescent="0.25">
      <c r="A2" s="164"/>
      <c r="B2" s="165"/>
      <c r="C2" s="512" t="s">
        <v>341</v>
      </c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146" t="s">
        <v>259</v>
      </c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</row>
    <row r="3" spans="1:32" ht="15" customHeight="1" x14ac:dyDescent="0.25">
      <c r="A3" s="484" t="s">
        <v>192</v>
      </c>
      <c r="B3" s="482" t="s">
        <v>42</v>
      </c>
      <c r="C3" s="482" t="s">
        <v>188</v>
      </c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 t="s">
        <v>189</v>
      </c>
      <c r="P3" s="482"/>
      <c r="Q3" s="482"/>
      <c r="R3" s="533" t="s">
        <v>193</v>
      </c>
      <c r="S3" s="534"/>
      <c r="T3" s="535"/>
      <c r="U3" s="533" t="s">
        <v>194</v>
      </c>
      <c r="V3" s="534"/>
      <c r="W3" s="534"/>
      <c r="X3" s="534"/>
      <c r="Y3" s="534"/>
      <c r="Z3" s="535"/>
      <c r="AA3" s="533" t="s">
        <v>195</v>
      </c>
      <c r="AB3" s="534"/>
      <c r="AC3" s="534"/>
      <c r="AD3" s="534"/>
      <c r="AE3" s="534"/>
      <c r="AF3" s="535"/>
    </row>
    <row r="4" spans="1:32" x14ac:dyDescent="0.25">
      <c r="A4" s="484"/>
      <c r="B4" s="482"/>
      <c r="C4" s="482" t="s">
        <v>5</v>
      </c>
      <c r="D4" s="482"/>
      <c r="E4" s="482"/>
      <c r="F4" s="482" t="s">
        <v>6</v>
      </c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536"/>
      <c r="S4" s="537"/>
      <c r="T4" s="538"/>
      <c r="U4" s="539"/>
      <c r="V4" s="540"/>
      <c r="W4" s="540"/>
      <c r="X4" s="540"/>
      <c r="Y4" s="540"/>
      <c r="Z4" s="541"/>
      <c r="AA4" s="539"/>
      <c r="AB4" s="540"/>
      <c r="AC4" s="540"/>
      <c r="AD4" s="540"/>
      <c r="AE4" s="540"/>
      <c r="AF4" s="541"/>
    </row>
    <row r="5" spans="1:32" ht="15" customHeight="1" x14ac:dyDescent="0.25">
      <c r="A5" s="484"/>
      <c r="B5" s="482"/>
      <c r="C5" s="482"/>
      <c r="D5" s="482"/>
      <c r="E5" s="482"/>
      <c r="F5" s="482" t="s">
        <v>51</v>
      </c>
      <c r="G5" s="482"/>
      <c r="H5" s="482"/>
      <c r="I5" s="482" t="s">
        <v>190</v>
      </c>
      <c r="J5" s="482"/>
      <c r="K5" s="482"/>
      <c r="L5" s="482" t="s">
        <v>262</v>
      </c>
      <c r="M5" s="482"/>
      <c r="N5" s="482"/>
      <c r="O5" s="482"/>
      <c r="P5" s="482"/>
      <c r="Q5" s="482"/>
      <c r="R5" s="539"/>
      <c r="S5" s="540"/>
      <c r="T5" s="541"/>
      <c r="U5" s="542" t="s">
        <v>229</v>
      </c>
      <c r="V5" s="543"/>
      <c r="W5" s="544"/>
      <c r="X5" s="542" t="s">
        <v>230</v>
      </c>
      <c r="Y5" s="543"/>
      <c r="Z5" s="544"/>
      <c r="AA5" s="542" t="s">
        <v>229</v>
      </c>
      <c r="AB5" s="543"/>
      <c r="AC5" s="544"/>
      <c r="AD5" s="542" t="s">
        <v>230</v>
      </c>
      <c r="AE5" s="543"/>
      <c r="AF5" s="544"/>
    </row>
    <row r="6" spans="1:32" x14ac:dyDescent="0.25">
      <c r="A6" s="484"/>
      <c r="B6" s="482"/>
      <c r="C6" s="158" t="s">
        <v>43</v>
      </c>
      <c r="D6" s="158" t="s">
        <v>44</v>
      </c>
      <c r="E6" s="158" t="s">
        <v>3</v>
      </c>
      <c r="F6" s="158" t="s">
        <v>43</v>
      </c>
      <c r="G6" s="158" t="s">
        <v>44</v>
      </c>
      <c r="H6" s="158" t="s">
        <v>3</v>
      </c>
      <c r="I6" s="158" t="s">
        <v>43</v>
      </c>
      <c r="J6" s="158" t="s">
        <v>44</v>
      </c>
      <c r="K6" s="158" t="s">
        <v>3</v>
      </c>
      <c r="L6" s="158" t="s">
        <v>43</v>
      </c>
      <c r="M6" s="158" t="s">
        <v>44</v>
      </c>
      <c r="N6" s="158" t="s">
        <v>3</v>
      </c>
      <c r="O6" s="158" t="s">
        <v>43</v>
      </c>
      <c r="P6" s="158" t="s">
        <v>44</v>
      </c>
      <c r="Q6" s="158" t="s">
        <v>3</v>
      </c>
      <c r="R6" s="158" t="s">
        <v>43</v>
      </c>
      <c r="S6" s="158" t="s">
        <v>44</v>
      </c>
      <c r="T6" s="158" t="s">
        <v>3</v>
      </c>
      <c r="U6" s="158" t="s">
        <v>43</v>
      </c>
      <c r="V6" s="158" t="s">
        <v>44</v>
      </c>
      <c r="W6" s="158" t="s">
        <v>3</v>
      </c>
      <c r="X6" s="158" t="s">
        <v>43</v>
      </c>
      <c r="Y6" s="158" t="s">
        <v>44</v>
      </c>
      <c r="Z6" s="158" t="s">
        <v>3</v>
      </c>
      <c r="AA6" s="158" t="s">
        <v>43</v>
      </c>
      <c r="AB6" s="158" t="s">
        <v>44</v>
      </c>
      <c r="AC6" s="158" t="s">
        <v>3</v>
      </c>
      <c r="AD6" s="158" t="s">
        <v>43</v>
      </c>
      <c r="AE6" s="158" t="s">
        <v>44</v>
      </c>
      <c r="AF6" s="158" t="s">
        <v>3</v>
      </c>
    </row>
    <row r="7" spans="1:32" x14ac:dyDescent="0.25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8">
        <v>3</v>
      </c>
      <c r="S7" s="78">
        <v>4</v>
      </c>
      <c r="T7" s="78">
        <v>5</v>
      </c>
      <c r="U7" s="78">
        <v>6</v>
      </c>
      <c r="V7" s="78">
        <v>7</v>
      </c>
      <c r="W7" s="78">
        <v>8</v>
      </c>
      <c r="X7" s="78">
        <v>9</v>
      </c>
      <c r="Y7" s="78">
        <v>10</v>
      </c>
      <c r="Z7" s="78">
        <v>11</v>
      </c>
      <c r="AA7" s="78">
        <v>12</v>
      </c>
      <c r="AB7" s="78">
        <v>13</v>
      </c>
      <c r="AC7" s="78">
        <v>14</v>
      </c>
      <c r="AD7" s="78">
        <v>15</v>
      </c>
      <c r="AE7" s="78">
        <v>16</v>
      </c>
      <c r="AF7" s="78">
        <v>17</v>
      </c>
    </row>
    <row r="8" spans="1:32" x14ac:dyDescent="0.25">
      <c r="A8" s="506" t="s">
        <v>216</v>
      </c>
      <c r="B8" s="506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29"/>
      <c r="S8" s="530"/>
      <c r="T8" s="530"/>
      <c r="U8" s="530"/>
      <c r="V8" s="530"/>
      <c r="W8" s="530"/>
      <c r="X8" s="530"/>
      <c r="Y8" s="530"/>
      <c r="Z8" s="530"/>
      <c r="AA8" s="530"/>
      <c r="AB8" s="530"/>
      <c r="AC8" s="530"/>
      <c r="AD8" s="530"/>
      <c r="AE8" s="530"/>
      <c r="AF8" s="531"/>
    </row>
    <row r="9" spans="1:32" ht="28.5" x14ac:dyDescent="0.25">
      <c r="A9" s="166">
        <v>1</v>
      </c>
      <c r="B9" s="27" t="s">
        <v>143</v>
      </c>
      <c r="C9" s="170">
        <v>695970</v>
      </c>
      <c r="D9" s="170">
        <v>479848</v>
      </c>
      <c r="E9" s="170">
        <v>1175818</v>
      </c>
      <c r="F9" s="170">
        <v>681927</v>
      </c>
      <c r="G9" s="170">
        <v>472562</v>
      </c>
      <c r="H9" s="170">
        <v>1154489</v>
      </c>
      <c r="I9" s="170">
        <v>2722</v>
      </c>
      <c r="J9" s="170">
        <v>1396</v>
      </c>
      <c r="K9" s="170">
        <v>4118</v>
      </c>
      <c r="L9" s="169">
        <v>684649</v>
      </c>
      <c r="M9" s="169">
        <v>473958</v>
      </c>
      <c r="N9" s="169">
        <v>1158607</v>
      </c>
      <c r="O9" s="314">
        <v>98.373349425981004</v>
      </c>
      <c r="P9" s="314">
        <v>98.772527967189603</v>
      </c>
      <c r="Q9" s="314">
        <v>98.536253059572147</v>
      </c>
      <c r="R9" s="214">
        <f t="shared" ref="R9:T10" si="0">L9</f>
        <v>684649</v>
      </c>
      <c r="S9" s="214">
        <f t="shared" si="0"/>
        <v>473958</v>
      </c>
      <c r="T9" s="214">
        <f t="shared" si="0"/>
        <v>1158607</v>
      </c>
      <c r="U9" s="185"/>
      <c r="V9" s="185"/>
      <c r="W9" s="185">
        <f>U9+V9</f>
        <v>0</v>
      </c>
      <c r="X9" s="185"/>
      <c r="Y9" s="185"/>
      <c r="Z9" s="185">
        <f>X9+Y9</f>
        <v>0</v>
      </c>
      <c r="AA9" s="315">
        <f t="shared" ref="AA9:AC10" si="1">U9/R9%</f>
        <v>0</v>
      </c>
      <c r="AB9" s="315">
        <f t="shared" si="1"/>
        <v>0</v>
      </c>
      <c r="AC9" s="315">
        <f t="shared" si="1"/>
        <v>0</v>
      </c>
      <c r="AD9" s="315">
        <f t="shared" ref="AD9:AF10" si="2">X9/R9%</f>
        <v>0</v>
      </c>
      <c r="AE9" s="315">
        <f t="shared" si="2"/>
        <v>0</v>
      </c>
      <c r="AF9" s="315">
        <f t="shared" si="2"/>
        <v>0</v>
      </c>
    </row>
    <row r="10" spans="1:32" ht="28.5" x14ac:dyDescent="0.25">
      <c r="A10" s="166">
        <v>2</v>
      </c>
      <c r="B10" s="27" t="s">
        <v>231</v>
      </c>
      <c r="C10" s="170">
        <v>73718</v>
      </c>
      <c r="D10" s="170">
        <v>58563</v>
      </c>
      <c r="E10" s="170">
        <v>132281</v>
      </c>
      <c r="F10" s="170">
        <v>72382</v>
      </c>
      <c r="G10" s="170">
        <v>58068</v>
      </c>
      <c r="H10" s="170">
        <v>130450</v>
      </c>
      <c r="I10" s="176">
        <v>0</v>
      </c>
      <c r="J10" s="176">
        <v>0</v>
      </c>
      <c r="K10" s="176">
        <v>0</v>
      </c>
      <c r="L10" s="169">
        <v>72382</v>
      </c>
      <c r="M10" s="169">
        <v>58068</v>
      </c>
      <c r="N10" s="169">
        <v>130450</v>
      </c>
      <c r="O10" s="314">
        <v>98.187688217260373</v>
      </c>
      <c r="P10" s="314">
        <v>99.154756416167203</v>
      </c>
      <c r="Q10" s="314">
        <v>98.615825401985163</v>
      </c>
      <c r="R10" s="214">
        <f t="shared" si="0"/>
        <v>72382</v>
      </c>
      <c r="S10" s="214">
        <f t="shared" si="0"/>
        <v>58068</v>
      </c>
      <c r="T10" s="214">
        <f t="shared" si="0"/>
        <v>130450</v>
      </c>
      <c r="U10" s="214">
        <v>41190</v>
      </c>
      <c r="V10" s="214">
        <v>38405</v>
      </c>
      <c r="W10" s="214">
        <f>U10+V10</f>
        <v>79595</v>
      </c>
      <c r="X10" s="214">
        <v>21996</v>
      </c>
      <c r="Y10" s="214">
        <v>15135</v>
      </c>
      <c r="Z10" s="214">
        <f>X10+Y10</f>
        <v>37131</v>
      </c>
      <c r="AA10" s="312">
        <f t="shared" si="1"/>
        <v>56.906413196651094</v>
      </c>
      <c r="AB10" s="312">
        <f t="shared" si="1"/>
        <v>66.137976165874491</v>
      </c>
      <c r="AC10" s="312">
        <f t="shared" si="1"/>
        <v>61.015714833269449</v>
      </c>
      <c r="AD10" s="312">
        <f t="shared" si="2"/>
        <v>30.388770688845291</v>
      </c>
      <c r="AE10" s="312">
        <f t="shared" si="2"/>
        <v>26.064269477164707</v>
      </c>
      <c r="AF10" s="312">
        <f t="shared" si="2"/>
        <v>28.463779225756994</v>
      </c>
    </row>
    <row r="11" spans="1:32" x14ac:dyDescent="0.25">
      <c r="A11" s="316" t="s">
        <v>217</v>
      </c>
      <c r="B11" s="317"/>
      <c r="C11" s="507"/>
      <c r="D11" s="507"/>
      <c r="E11" s="507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318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20"/>
    </row>
    <row r="12" spans="1:32" ht="28.5" x14ac:dyDescent="0.25">
      <c r="A12" s="166">
        <v>3</v>
      </c>
      <c r="B12" s="27" t="s">
        <v>263</v>
      </c>
      <c r="C12" s="170">
        <v>688862</v>
      </c>
      <c r="D12" s="170">
        <v>585184</v>
      </c>
      <c r="E12" s="170">
        <v>1274046</v>
      </c>
      <c r="F12" s="170">
        <v>531341</v>
      </c>
      <c r="G12" s="170">
        <v>493083</v>
      </c>
      <c r="H12" s="170">
        <v>1024424</v>
      </c>
      <c r="I12" s="176">
        <v>0</v>
      </c>
      <c r="J12" s="176">
        <v>0</v>
      </c>
      <c r="K12" s="176">
        <v>0</v>
      </c>
      <c r="L12" s="169">
        <v>531341</v>
      </c>
      <c r="M12" s="169">
        <v>493083</v>
      </c>
      <c r="N12" s="170">
        <v>1024424</v>
      </c>
      <c r="O12" s="314">
        <v>77.133155842534492</v>
      </c>
      <c r="P12" s="314">
        <v>84.261189642915738</v>
      </c>
      <c r="Q12" s="314">
        <v>80.407143855088435</v>
      </c>
      <c r="R12" s="214">
        <f t="shared" ref="R12:T27" si="3">L12</f>
        <v>531341</v>
      </c>
      <c r="S12" s="214">
        <f t="shared" si="3"/>
        <v>493083</v>
      </c>
      <c r="T12" s="214">
        <f t="shared" si="3"/>
        <v>1024424</v>
      </c>
      <c r="U12" s="170">
        <v>209747</v>
      </c>
      <c r="V12" s="170">
        <v>213780</v>
      </c>
      <c r="W12" s="214">
        <f t="shared" ref="W12:W43" si="4">U12+V12</f>
        <v>423527</v>
      </c>
      <c r="X12" s="214">
        <v>257854</v>
      </c>
      <c r="Y12" s="214">
        <v>240946</v>
      </c>
      <c r="Z12" s="214">
        <f t="shared" ref="Z12:Z43" si="5">X12+Y12</f>
        <v>498800</v>
      </c>
      <c r="AA12" s="312">
        <f t="shared" ref="AA12:AC43" si="6">U12/R12%</f>
        <v>39.475026395478608</v>
      </c>
      <c r="AB12" s="312">
        <f t="shared" si="6"/>
        <v>43.355783914675627</v>
      </c>
      <c r="AC12" s="312">
        <f t="shared" si="6"/>
        <v>41.342940032642737</v>
      </c>
      <c r="AD12" s="312">
        <f t="shared" ref="AD12:AF43" si="7">X12/R12%</f>
        <v>48.528910812453773</v>
      </c>
      <c r="AE12" s="312">
        <f t="shared" si="7"/>
        <v>48.865201193308224</v>
      </c>
      <c r="AF12" s="312">
        <f t="shared" si="7"/>
        <v>48.690776475365666</v>
      </c>
    </row>
    <row r="13" spans="1:32" x14ac:dyDescent="0.25">
      <c r="A13" s="166">
        <v>4</v>
      </c>
      <c r="B13" s="27" t="s">
        <v>135</v>
      </c>
      <c r="C13" s="170">
        <v>5110</v>
      </c>
      <c r="D13" s="170">
        <v>2497</v>
      </c>
      <c r="E13" s="170">
        <v>7607</v>
      </c>
      <c r="F13" s="170">
        <v>3170</v>
      </c>
      <c r="G13" s="170">
        <v>1645</v>
      </c>
      <c r="H13" s="170">
        <v>4815</v>
      </c>
      <c r="I13" s="176">
        <v>0</v>
      </c>
      <c r="J13" s="176">
        <v>0</v>
      </c>
      <c r="K13" s="176">
        <v>0</v>
      </c>
      <c r="L13" s="169">
        <v>3170</v>
      </c>
      <c r="M13" s="169">
        <v>1645</v>
      </c>
      <c r="N13" s="170">
        <v>4815</v>
      </c>
      <c r="O13" s="314">
        <v>62.035225048923678</v>
      </c>
      <c r="P13" s="314">
        <v>65.879054865839009</v>
      </c>
      <c r="Q13" s="314">
        <v>63.296963323254893</v>
      </c>
      <c r="R13" s="214">
        <f t="shared" si="3"/>
        <v>3170</v>
      </c>
      <c r="S13" s="214">
        <f t="shared" si="3"/>
        <v>1645</v>
      </c>
      <c r="T13" s="214">
        <f t="shared" si="3"/>
        <v>4815</v>
      </c>
      <c r="U13" s="176"/>
      <c r="V13" s="176"/>
      <c r="W13" s="176">
        <f>U13+V13</f>
        <v>0</v>
      </c>
      <c r="X13" s="176"/>
      <c r="Y13" s="176"/>
      <c r="Z13" s="176">
        <f>X13+Y13</f>
        <v>0</v>
      </c>
      <c r="AA13" s="215">
        <f>U13/R13%</f>
        <v>0</v>
      </c>
      <c r="AB13" s="215">
        <f>V13/S13%</f>
        <v>0</v>
      </c>
      <c r="AC13" s="215">
        <f>W13/T13%</f>
        <v>0</v>
      </c>
      <c r="AD13" s="215">
        <f>X13/R13%</f>
        <v>0</v>
      </c>
      <c r="AE13" s="215">
        <f>Y13/S13%</f>
        <v>0</v>
      </c>
      <c r="AF13" s="215">
        <f>Z13/T13%</f>
        <v>0</v>
      </c>
    </row>
    <row r="14" spans="1:32" x14ac:dyDescent="0.25">
      <c r="A14" s="166">
        <v>5</v>
      </c>
      <c r="B14" s="27" t="s">
        <v>264</v>
      </c>
      <c r="C14" s="170">
        <v>177885</v>
      </c>
      <c r="D14" s="170">
        <v>193753</v>
      </c>
      <c r="E14" s="170">
        <v>371638</v>
      </c>
      <c r="F14" s="170">
        <v>117281</v>
      </c>
      <c r="G14" s="170">
        <v>115631</v>
      </c>
      <c r="H14" s="170">
        <v>232912</v>
      </c>
      <c r="I14" s="176">
        <v>0</v>
      </c>
      <c r="J14" s="176">
        <v>0</v>
      </c>
      <c r="K14" s="176">
        <v>0</v>
      </c>
      <c r="L14" s="169">
        <v>117281</v>
      </c>
      <c r="M14" s="169">
        <v>115631</v>
      </c>
      <c r="N14" s="170">
        <v>232912</v>
      </c>
      <c r="O14" s="314">
        <v>65.930797987463805</v>
      </c>
      <c r="P14" s="314">
        <v>59.679592057929419</v>
      </c>
      <c r="Q14" s="314">
        <v>62.671739703690157</v>
      </c>
      <c r="R14" s="214">
        <f t="shared" si="3"/>
        <v>117281</v>
      </c>
      <c r="S14" s="214">
        <f t="shared" si="3"/>
        <v>115631</v>
      </c>
      <c r="T14" s="214">
        <f t="shared" si="3"/>
        <v>232912</v>
      </c>
      <c r="U14" s="250">
        <v>3982</v>
      </c>
      <c r="V14" s="250">
        <v>3059</v>
      </c>
      <c r="W14" s="214">
        <f>U14+V14</f>
        <v>7041</v>
      </c>
      <c r="X14" s="214">
        <v>14911</v>
      </c>
      <c r="Y14" s="214">
        <v>12510</v>
      </c>
      <c r="Z14" s="214">
        <f>X14+Y14</f>
        <v>27421</v>
      </c>
      <c r="AA14" s="312">
        <f t="shared" si="6"/>
        <v>3.3952643650719216</v>
      </c>
      <c r="AB14" s="312">
        <f t="shared" si="6"/>
        <v>2.6454843424341226</v>
      </c>
      <c r="AC14" s="312">
        <f t="shared" si="6"/>
        <v>3.023030157312633</v>
      </c>
      <c r="AD14" s="312">
        <f t="shared" si="7"/>
        <v>12.713909328876801</v>
      </c>
      <c r="AE14" s="312">
        <f t="shared" si="7"/>
        <v>10.818898046371649</v>
      </c>
      <c r="AF14" s="312">
        <f t="shared" si="7"/>
        <v>11.773116026653843</v>
      </c>
    </row>
    <row r="15" spans="1:32" x14ac:dyDescent="0.25">
      <c r="A15" s="166">
        <v>6</v>
      </c>
      <c r="B15" s="27" t="s">
        <v>266</v>
      </c>
      <c r="C15" s="170">
        <v>15</v>
      </c>
      <c r="D15" s="170">
        <v>162</v>
      </c>
      <c r="E15" s="170">
        <v>177</v>
      </c>
      <c r="F15" s="170">
        <v>12</v>
      </c>
      <c r="G15" s="170">
        <v>158</v>
      </c>
      <c r="H15" s="170">
        <v>170</v>
      </c>
      <c r="I15" s="170">
        <v>3</v>
      </c>
      <c r="J15" s="170">
        <v>4</v>
      </c>
      <c r="K15" s="170">
        <v>7</v>
      </c>
      <c r="L15" s="169">
        <v>15</v>
      </c>
      <c r="M15" s="169">
        <v>162</v>
      </c>
      <c r="N15" s="170">
        <v>177</v>
      </c>
      <c r="O15" s="314">
        <v>100</v>
      </c>
      <c r="P15" s="314">
        <v>100</v>
      </c>
      <c r="Q15" s="314">
        <v>100</v>
      </c>
      <c r="R15" s="214">
        <f t="shared" si="3"/>
        <v>15</v>
      </c>
      <c r="S15" s="214">
        <f t="shared" si="3"/>
        <v>162</v>
      </c>
      <c r="T15" s="214">
        <f t="shared" si="3"/>
        <v>177</v>
      </c>
      <c r="U15" s="250">
        <v>4</v>
      </c>
      <c r="V15" s="250">
        <v>40</v>
      </c>
      <c r="W15" s="214">
        <f t="shared" si="4"/>
        <v>44</v>
      </c>
      <c r="X15" s="214">
        <v>2</v>
      </c>
      <c r="Y15" s="214">
        <v>59</v>
      </c>
      <c r="Z15" s="214">
        <f t="shared" si="5"/>
        <v>61</v>
      </c>
      <c r="AA15" s="312">
        <f t="shared" si="6"/>
        <v>26.666666666666668</v>
      </c>
      <c r="AB15" s="312">
        <f t="shared" si="6"/>
        <v>24.691358024691358</v>
      </c>
      <c r="AC15" s="312">
        <f t="shared" si="6"/>
        <v>24.858757062146893</v>
      </c>
      <c r="AD15" s="312">
        <f t="shared" si="7"/>
        <v>13.333333333333334</v>
      </c>
      <c r="AE15" s="312">
        <f t="shared" si="7"/>
        <v>36.419753086419753</v>
      </c>
      <c r="AF15" s="312">
        <f t="shared" si="7"/>
        <v>34.463276836158194</v>
      </c>
    </row>
    <row r="16" spans="1:32" x14ac:dyDescent="0.25">
      <c r="A16" s="166">
        <v>7</v>
      </c>
      <c r="B16" s="27" t="s">
        <v>138</v>
      </c>
      <c r="C16" s="170">
        <v>609337</v>
      </c>
      <c r="D16" s="170">
        <v>491184</v>
      </c>
      <c r="E16" s="170">
        <v>1100521</v>
      </c>
      <c r="F16" s="170">
        <v>456492</v>
      </c>
      <c r="G16" s="170">
        <v>333875</v>
      </c>
      <c r="H16" s="170">
        <v>790367</v>
      </c>
      <c r="I16" s="170">
        <v>19685</v>
      </c>
      <c r="J16" s="170">
        <v>25203</v>
      </c>
      <c r="K16" s="170">
        <v>44888</v>
      </c>
      <c r="L16" s="169">
        <v>476177</v>
      </c>
      <c r="M16" s="169">
        <v>359078</v>
      </c>
      <c r="N16" s="170">
        <v>835255</v>
      </c>
      <c r="O16" s="314">
        <v>78.14673981721117</v>
      </c>
      <c r="P16" s="314">
        <v>73.10457995374442</v>
      </c>
      <c r="Q16" s="314">
        <v>75.896325467664866</v>
      </c>
      <c r="R16" s="214">
        <f t="shared" si="3"/>
        <v>476177</v>
      </c>
      <c r="S16" s="214">
        <f t="shared" si="3"/>
        <v>359078</v>
      </c>
      <c r="T16" s="214">
        <f t="shared" si="3"/>
        <v>835255</v>
      </c>
      <c r="U16" s="250">
        <v>14607</v>
      </c>
      <c r="V16" s="250">
        <v>6181</v>
      </c>
      <c r="W16" s="214">
        <f t="shared" si="4"/>
        <v>20788</v>
      </c>
      <c r="X16" s="214">
        <v>130162</v>
      </c>
      <c r="Y16" s="214">
        <v>71852</v>
      </c>
      <c r="Z16" s="214">
        <f t="shared" si="5"/>
        <v>202014</v>
      </c>
      <c r="AA16" s="312">
        <f t="shared" si="6"/>
        <v>3.0675568118577754</v>
      </c>
      <c r="AB16" s="312">
        <f t="shared" si="6"/>
        <v>1.7213530207921397</v>
      </c>
      <c r="AC16" s="312">
        <f t="shared" si="6"/>
        <v>2.4888207792829737</v>
      </c>
      <c r="AD16" s="312">
        <f t="shared" si="7"/>
        <v>27.334793574658161</v>
      </c>
      <c r="AE16" s="312">
        <f t="shared" si="7"/>
        <v>20.010137073282127</v>
      </c>
      <c r="AF16" s="312">
        <f t="shared" si="7"/>
        <v>24.18590729777134</v>
      </c>
    </row>
    <row r="17" spans="1:32" x14ac:dyDescent="0.25">
      <c r="A17" s="166">
        <v>8</v>
      </c>
      <c r="B17" s="27" t="s">
        <v>267</v>
      </c>
      <c r="C17" s="170">
        <v>26167</v>
      </c>
      <c r="D17" s="170">
        <v>44631</v>
      </c>
      <c r="E17" s="170">
        <v>70798</v>
      </c>
      <c r="F17" s="170">
        <v>22992</v>
      </c>
      <c r="G17" s="170">
        <v>40457</v>
      </c>
      <c r="H17" s="170">
        <v>63449</v>
      </c>
      <c r="I17" s="176">
        <v>0</v>
      </c>
      <c r="J17" s="176">
        <v>0</v>
      </c>
      <c r="K17" s="176">
        <v>0</v>
      </c>
      <c r="L17" s="169">
        <v>22992</v>
      </c>
      <c r="M17" s="169">
        <v>40457</v>
      </c>
      <c r="N17" s="170">
        <v>63449</v>
      </c>
      <c r="O17" s="314">
        <v>87.86639660641265</v>
      </c>
      <c r="P17" s="314">
        <v>90.647756044005291</v>
      </c>
      <c r="Q17" s="314">
        <v>89.61976327014888</v>
      </c>
      <c r="R17" s="214">
        <f t="shared" si="3"/>
        <v>22992</v>
      </c>
      <c r="S17" s="214">
        <f t="shared" si="3"/>
        <v>40457</v>
      </c>
      <c r="T17" s="214">
        <f t="shared" si="3"/>
        <v>63449</v>
      </c>
      <c r="U17" s="176"/>
      <c r="V17" s="176"/>
      <c r="W17" s="176">
        <f t="shared" si="4"/>
        <v>0</v>
      </c>
      <c r="X17" s="214">
        <v>11140</v>
      </c>
      <c r="Y17" s="214">
        <v>18178</v>
      </c>
      <c r="Z17" s="214">
        <f t="shared" si="5"/>
        <v>29318</v>
      </c>
      <c r="AA17" s="215">
        <f t="shared" si="6"/>
        <v>0</v>
      </c>
      <c r="AB17" s="215">
        <f t="shared" si="6"/>
        <v>0</v>
      </c>
      <c r="AC17" s="215">
        <f t="shared" si="6"/>
        <v>0</v>
      </c>
      <c r="AD17" s="312">
        <f t="shared" si="7"/>
        <v>48.451635351426589</v>
      </c>
      <c r="AE17" s="312">
        <f t="shared" si="7"/>
        <v>44.931655832118054</v>
      </c>
      <c r="AF17" s="312">
        <f t="shared" si="7"/>
        <v>46.207190026635566</v>
      </c>
    </row>
    <row r="18" spans="1:32" ht="28.5" x14ac:dyDescent="0.25">
      <c r="A18" s="166">
        <v>9</v>
      </c>
      <c r="B18" s="27" t="s">
        <v>145</v>
      </c>
      <c r="C18" s="170">
        <v>215153</v>
      </c>
      <c r="D18" s="170">
        <v>214554</v>
      </c>
      <c r="E18" s="170">
        <v>429707</v>
      </c>
      <c r="F18" s="170">
        <v>118112</v>
      </c>
      <c r="G18" s="170">
        <v>117846</v>
      </c>
      <c r="H18" s="170">
        <v>235958</v>
      </c>
      <c r="I18" s="176">
        <v>0</v>
      </c>
      <c r="J18" s="176">
        <v>0</v>
      </c>
      <c r="K18" s="176">
        <v>0</v>
      </c>
      <c r="L18" s="170">
        <v>118112</v>
      </c>
      <c r="M18" s="170">
        <v>117846</v>
      </c>
      <c r="N18" s="170">
        <v>235958</v>
      </c>
      <c r="O18" s="314">
        <v>54.896747895683539</v>
      </c>
      <c r="P18" s="314">
        <v>54.926032607175813</v>
      </c>
      <c r="Q18" s="314">
        <v>54.911369840379606</v>
      </c>
      <c r="R18" s="214">
        <f t="shared" si="3"/>
        <v>118112</v>
      </c>
      <c r="S18" s="214">
        <f t="shared" si="3"/>
        <v>117846</v>
      </c>
      <c r="T18" s="214">
        <f t="shared" si="3"/>
        <v>235958</v>
      </c>
      <c r="U18" s="176"/>
      <c r="V18" s="176"/>
      <c r="W18" s="176"/>
      <c r="X18" s="176"/>
      <c r="Y18" s="176"/>
      <c r="Z18" s="176"/>
      <c r="AA18" s="215"/>
      <c r="AB18" s="215"/>
      <c r="AC18" s="215"/>
      <c r="AD18" s="215"/>
      <c r="AE18" s="215"/>
      <c r="AF18" s="215"/>
    </row>
    <row r="19" spans="1:32" x14ac:dyDescent="0.25">
      <c r="A19" s="166">
        <v>10</v>
      </c>
      <c r="B19" s="27" t="s">
        <v>298</v>
      </c>
      <c r="C19" s="170">
        <v>277</v>
      </c>
      <c r="D19" s="170">
        <v>193</v>
      </c>
      <c r="E19" s="170">
        <v>470</v>
      </c>
      <c r="F19" s="170">
        <v>93</v>
      </c>
      <c r="G19" s="170">
        <v>93</v>
      </c>
      <c r="H19" s="170">
        <v>186</v>
      </c>
      <c r="I19" s="170">
        <v>42</v>
      </c>
      <c r="J19" s="170">
        <v>33</v>
      </c>
      <c r="K19" s="170">
        <v>75</v>
      </c>
      <c r="L19" s="170">
        <v>135</v>
      </c>
      <c r="M19" s="170">
        <v>126</v>
      </c>
      <c r="N19" s="170">
        <v>261</v>
      </c>
      <c r="O19" s="314">
        <v>48.736462093862812</v>
      </c>
      <c r="P19" s="314">
        <v>65.284974093264253</v>
      </c>
      <c r="Q19" s="314">
        <v>55.531914893617021</v>
      </c>
      <c r="R19" s="214">
        <f>L19</f>
        <v>135</v>
      </c>
      <c r="S19" s="214">
        <f>M19</f>
        <v>126</v>
      </c>
      <c r="T19" s="214">
        <f>N19</f>
        <v>261</v>
      </c>
      <c r="U19" s="176"/>
      <c r="V19" s="176"/>
      <c r="W19" s="176"/>
      <c r="X19" s="176"/>
      <c r="Y19" s="176"/>
      <c r="Z19" s="176"/>
      <c r="AA19" s="215"/>
      <c r="AB19" s="215"/>
      <c r="AC19" s="215"/>
      <c r="AD19" s="215"/>
      <c r="AE19" s="215"/>
      <c r="AF19" s="215"/>
    </row>
    <row r="20" spans="1:32" x14ac:dyDescent="0.25">
      <c r="A20" s="166">
        <v>11</v>
      </c>
      <c r="B20" s="27" t="s">
        <v>144</v>
      </c>
      <c r="C20" s="170">
        <v>342</v>
      </c>
      <c r="D20" s="170">
        <v>207</v>
      </c>
      <c r="E20" s="170">
        <v>549</v>
      </c>
      <c r="F20" s="170">
        <v>298</v>
      </c>
      <c r="G20" s="170">
        <v>174</v>
      </c>
      <c r="H20" s="170">
        <v>472</v>
      </c>
      <c r="I20" s="170">
        <v>18</v>
      </c>
      <c r="J20" s="170">
        <v>20</v>
      </c>
      <c r="K20" s="170">
        <v>38</v>
      </c>
      <c r="L20" s="169">
        <v>316</v>
      </c>
      <c r="M20" s="169">
        <v>194</v>
      </c>
      <c r="N20" s="170">
        <v>510</v>
      </c>
      <c r="O20" s="314">
        <v>92.397660818713447</v>
      </c>
      <c r="P20" s="314">
        <v>93.719806763285035</v>
      </c>
      <c r="Q20" s="314">
        <v>92.896174863387984</v>
      </c>
      <c r="R20" s="214">
        <f t="shared" si="3"/>
        <v>316</v>
      </c>
      <c r="S20" s="214">
        <f t="shared" si="3"/>
        <v>194</v>
      </c>
      <c r="T20" s="214">
        <f t="shared" si="3"/>
        <v>510</v>
      </c>
      <c r="U20" s="176"/>
      <c r="V20" s="176"/>
      <c r="W20" s="176">
        <f t="shared" si="4"/>
        <v>0</v>
      </c>
      <c r="X20" s="227">
        <v>80</v>
      </c>
      <c r="Y20" s="227">
        <v>49</v>
      </c>
      <c r="Z20" s="214">
        <f>X20+Y20</f>
        <v>129</v>
      </c>
      <c r="AA20" s="215">
        <f t="shared" si="6"/>
        <v>0</v>
      </c>
      <c r="AB20" s="215">
        <f t="shared" si="6"/>
        <v>0</v>
      </c>
      <c r="AC20" s="215">
        <f t="shared" si="6"/>
        <v>0</v>
      </c>
      <c r="AD20" s="216">
        <f t="shared" si="7"/>
        <v>25.316455696202532</v>
      </c>
      <c r="AE20" s="216">
        <f t="shared" si="7"/>
        <v>25.257731958762886</v>
      </c>
      <c r="AF20" s="312">
        <f t="shared" si="7"/>
        <v>25.294117647058826</v>
      </c>
    </row>
    <row r="21" spans="1:32" ht="28.5" x14ac:dyDescent="0.25">
      <c r="A21" s="166">
        <v>12</v>
      </c>
      <c r="B21" s="27" t="s">
        <v>148</v>
      </c>
      <c r="C21" s="170">
        <v>8196</v>
      </c>
      <c r="D21" s="170">
        <v>7424</v>
      </c>
      <c r="E21" s="170">
        <v>15620</v>
      </c>
      <c r="F21" s="170">
        <v>5787</v>
      </c>
      <c r="G21" s="170">
        <v>5123</v>
      </c>
      <c r="H21" s="170">
        <v>10910</v>
      </c>
      <c r="I21" s="170">
        <v>412</v>
      </c>
      <c r="J21" s="170">
        <v>425</v>
      </c>
      <c r="K21" s="170">
        <v>837</v>
      </c>
      <c r="L21" s="169">
        <v>6199</v>
      </c>
      <c r="M21" s="169">
        <v>5548</v>
      </c>
      <c r="N21" s="170">
        <v>11747</v>
      </c>
      <c r="O21" s="314">
        <v>75.634455832113218</v>
      </c>
      <c r="P21" s="314">
        <v>74.730603448275872</v>
      </c>
      <c r="Q21" s="314">
        <v>75.204865556978234</v>
      </c>
      <c r="R21" s="214">
        <f t="shared" si="3"/>
        <v>6199</v>
      </c>
      <c r="S21" s="214">
        <f t="shared" si="3"/>
        <v>5548</v>
      </c>
      <c r="T21" s="214">
        <f t="shared" si="3"/>
        <v>11747</v>
      </c>
      <c r="U21" s="250">
        <v>630</v>
      </c>
      <c r="V21" s="250">
        <v>842</v>
      </c>
      <c r="W21" s="214">
        <f t="shared" si="4"/>
        <v>1472</v>
      </c>
      <c r="X21" s="214">
        <v>1168</v>
      </c>
      <c r="Y21" s="214">
        <v>1426</v>
      </c>
      <c r="Z21" s="214">
        <f t="shared" si="5"/>
        <v>2594</v>
      </c>
      <c r="AA21" s="312">
        <f t="shared" si="6"/>
        <v>10.162929504758832</v>
      </c>
      <c r="AB21" s="312">
        <f t="shared" si="6"/>
        <v>15.176640230713772</v>
      </c>
      <c r="AC21" s="312">
        <f t="shared" si="6"/>
        <v>12.530858942708777</v>
      </c>
      <c r="AD21" s="312">
        <f t="shared" si="7"/>
        <v>18.841748669140184</v>
      </c>
      <c r="AE21" s="312">
        <f t="shared" si="7"/>
        <v>25.702956020187457</v>
      </c>
      <c r="AF21" s="312">
        <f t="shared" si="7"/>
        <v>22.082233761811526</v>
      </c>
    </row>
    <row r="22" spans="1:32" ht="28.5" x14ac:dyDescent="0.25">
      <c r="A22" s="166">
        <v>13</v>
      </c>
      <c r="B22" s="27" t="s">
        <v>149</v>
      </c>
      <c r="C22" s="170">
        <v>508151</v>
      </c>
      <c r="D22" s="170">
        <v>314039</v>
      </c>
      <c r="E22" s="170">
        <v>822190</v>
      </c>
      <c r="F22" s="170">
        <v>353491</v>
      </c>
      <c r="G22" s="170">
        <v>242926</v>
      </c>
      <c r="H22" s="170">
        <v>596417</v>
      </c>
      <c r="I22" s="170">
        <v>26083</v>
      </c>
      <c r="J22" s="170">
        <v>14579</v>
      </c>
      <c r="K22" s="170">
        <v>40662</v>
      </c>
      <c r="L22" s="169">
        <v>379574</v>
      </c>
      <c r="M22" s="169">
        <v>257505</v>
      </c>
      <c r="N22" s="170">
        <v>637079</v>
      </c>
      <c r="O22" s="314">
        <v>74.697088070278326</v>
      </c>
      <c r="P22" s="314">
        <v>81.997777346125801</v>
      </c>
      <c r="Q22" s="314">
        <v>77.485617679611778</v>
      </c>
      <c r="R22" s="214">
        <f t="shared" si="3"/>
        <v>379574</v>
      </c>
      <c r="S22" s="214">
        <f t="shared" si="3"/>
        <v>257505</v>
      </c>
      <c r="T22" s="214">
        <f t="shared" si="3"/>
        <v>637079</v>
      </c>
      <c r="U22" s="250">
        <v>58544</v>
      </c>
      <c r="V22" s="250">
        <v>45326</v>
      </c>
      <c r="W22" s="214">
        <f t="shared" si="4"/>
        <v>103870</v>
      </c>
      <c r="X22" s="214">
        <v>107923</v>
      </c>
      <c r="Y22" s="214">
        <v>81345</v>
      </c>
      <c r="Z22" s="214">
        <f t="shared" si="5"/>
        <v>189268</v>
      </c>
      <c r="AA22" s="312">
        <f t="shared" si="6"/>
        <v>15.423606464088691</v>
      </c>
      <c r="AB22" s="312">
        <f t="shared" si="6"/>
        <v>17.601988310906584</v>
      </c>
      <c r="AC22" s="312">
        <f t="shared" si="6"/>
        <v>16.304100433384242</v>
      </c>
      <c r="AD22" s="312">
        <f t="shared" si="7"/>
        <v>28.432663986469045</v>
      </c>
      <c r="AE22" s="312">
        <f t="shared" si="7"/>
        <v>31.589677870332611</v>
      </c>
      <c r="AF22" s="312">
        <f t="shared" si="7"/>
        <v>29.708717443205632</v>
      </c>
    </row>
    <row r="23" spans="1:32" x14ac:dyDescent="0.25">
      <c r="A23" s="166">
        <v>14</v>
      </c>
      <c r="B23" s="27" t="s">
        <v>140</v>
      </c>
      <c r="C23" s="170">
        <v>213012</v>
      </c>
      <c r="D23" s="170">
        <v>172087</v>
      </c>
      <c r="E23" s="170">
        <v>385099</v>
      </c>
      <c r="F23" s="170">
        <v>130907</v>
      </c>
      <c r="G23" s="170">
        <v>112912</v>
      </c>
      <c r="H23" s="170">
        <v>243819</v>
      </c>
      <c r="I23" s="170">
        <v>25016</v>
      </c>
      <c r="J23" s="170">
        <v>17213</v>
      </c>
      <c r="K23" s="170">
        <v>42229</v>
      </c>
      <c r="L23" s="169">
        <v>155923</v>
      </c>
      <c r="M23" s="169">
        <v>130125</v>
      </c>
      <c r="N23" s="170">
        <v>286048</v>
      </c>
      <c r="O23" s="314">
        <v>73.199162488498303</v>
      </c>
      <c r="P23" s="314">
        <v>75.615822229453713</v>
      </c>
      <c r="Q23" s="314">
        <v>74.27908148294334</v>
      </c>
      <c r="R23" s="214">
        <v>155923</v>
      </c>
      <c r="S23" s="214">
        <v>130125</v>
      </c>
      <c r="T23" s="214">
        <v>286048</v>
      </c>
      <c r="U23" s="250">
        <v>6023</v>
      </c>
      <c r="V23" s="250">
        <v>8129</v>
      </c>
      <c r="W23" s="214">
        <v>14152</v>
      </c>
      <c r="X23" s="214">
        <v>47382</v>
      </c>
      <c r="Y23" s="214">
        <v>48445</v>
      </c>
      <c r="Z23" s="214">
        <v>95827</v>
      </c>
      <c r="AA23" s="312">
        <v>3.8628040763710292</v>
      </c>
      <c r="AB23" s="312">
        <v>6.2470701248799232</v>
      </c>
      <c r="AC23" s="312">
        <v>4.9474214117910282</v>
      </c>
      <c r="AD23" s="312">
        <v>30.388076165799784</v>
      </c>
      <c r="AE23" s="312">
        <v>37.229586935638807</v>
      </c>
      <c r="AF23" s="312">
        <v>33.500321624342767</v>
      </c>
    </row>
    <row r="24" spans="1:32" x14ac:dyDescent="0.25">
      <c r="A24" s="166">
        <v>15</v>
      </c>
      <c r="B24" s="27" t="s">
        <v>150</v>
      </c>
      <c r="C24" s="170">
        <v>76412</v>
      </c>
      <c r="D24" s="170">
        <v>69400</v>
      </c>
      <c r="E24" s="170">
        <v>145812</v>
      </c>
      <c r="F24" s="170">
        <v>48699</v>
      </c>
      <c r="G24" s="170">
        <v>45456</v>
      </c>
      <c r="H24" s="170">
        <v>94155</v>
      </c>
      <c r="I24" s="170">
        <v>8302</v>
      </c>
      <c r="J24" s="170">
        <v>7814</v>
      </c>
      <c r="K24" s="170">
        <v>16116</v>
      </c>
      <c r="L24" s="169">
        <v>57001</v>
      </c>
      <c r="M24" s="169">
        <v>53270</v>
      </c>
      <c r="N24" s="170">
        <v>110271</v>
      </c>
      <c r="O24" s="314">
        <v>74.59692194943203</v>
      </c>
      <c r="P24" s="314">
        <v>76.757925072046106</v>
      </c>
      <c r="Q24" s="314">
        <v>75.625462924862148</v>
      </c>
      <c r="R24" s="214">
        <f t="shared" si="3"/>
        <v>57001</v>
      </c>
      <c r="S24" s="214">
        <f t="shared" si="3"/>
        <v>53270</v>
      </c>
      <c r="T24" s="214">
        <f t="shared" si="3"/>
        <v>110271</v>
      </c>
      <c r="U24" s="250">
        <v>5265</v>
      </c>
      <c r="V24" s="250">
        <v>6322</v>
      </c>
      <c r="W24" s="214">
        <f t="shared" si="4"/>
        <v>11587</v>
      </c>
      <c r="X24" s="214">
        <v>18585</v>
      </c>
      <c r="Y24" s="214">
        <v>2009</v>
      </c>
      <c r="Z24" s="214">
        <f t="shared" si="5"/>
        <v>20594</v>
      </c>
      <c r="AA24" s="312">
        <f t="shared" si="6"/>
        <v>9.2366800582445929</v>
      </c>
      <c r="AB24" s="312">
        <f t="shared" si="6"/>
        <v>11.86784306363807</v>
      </c>
      <c r="AC24" s="312">
        <f t="shared" si="6"/>
        <v>10.507749090876114</v>
      </c>
      <c r="AD24" s="312">
        <f t="shared" si="7"/>
        <v>32.604691145769372</v>
      </c>
      <c r="AE24" s="312">
        <f t="shared" si="7"/>
        <v>3.7713534822601837</v>
      </c>
      <c r="AF24" s="312">
        <f t="shared" si="7"/>
        <v>18.675807782644576</v>
      </c>
    </row>
    <row r="25" spans="1:32" x14ac:dyDescent="0.25">
      <c r="A25" s="166">
        <v>16</v>
      </c>
      <c r="B25" s="27" t="s">
        <v>151</v>
      </c>
      <c r="C25" s="170">
        <v>141877</v>
      </c>
      <c r="D25" s="170">
        <v>110697</v>
      </c>
      <c r="E25" s="170">
        <v>252574</v>
      </c>
      <c r="F25" s="170">
        <v>66306</v>
      </c>
      <c r="G25" s="170">
        <v>52407</v>
      </c>
      <c r="H25" s="170">
        <v>118713</v>
      </c>
      <c r="I25" s="170">
        <v>39069</v>
      </c>
      <c r="J25" s="170">
        <v>28566</v>
      </c>
      <c r="K25" s="170">
        <v>67635</v>
      </c>
      <c r="L25" s="170">
        <v>105375</v>
      </c>
      <c r="M25" s="170">
        <v>80973</v>
      </c>
      <c r="N25" s="170">
        <v>186348</v>
      </c>
      <c r="O25" s="314">
        <v>74.272080745998295</v>
      </c>
      <c r="P25" s="314">
        <v>73.148323802813081</v>
      </c>
      <c r="Q25" s="314">
        <v>73.779565592657988</v>
      </c>
      <c r="R25" s="214">
        <f t="shared" si="3"/>
        <v>105375</v>
      </c>
      <c r="S25" s="214">
        <f t="shared" si="3"/>
        <v>80973</v>
      </c>
      <c r="T25" s="214">
        <f t="shared" si="3"/>
        <v>186348</v>
      </c>
      <c r="U25" s="176"/>
      <c r="V25" s="176"/>
      <c r="W25" s="176">
        <f t="shared" si="4"/>
        <v>0</v>
      </c>
      <c r="X25" s="176"/>
      <c r="Y25" s="176"/>
      <c r="Z25" s="176">
        <f t="shared" si="5"/>
        <v>0</v>
      </c>
      <c r="AA25" s="215">
        <f t="shared" si="6"/>
        <v>0</v>
      </c>
      <c r="AB25" s="215">
        <f t="shared" si="6"/>
        <v>0</v>
      </c>
      <c r="AC25" s="215">
        <f t="shared" si="6"/>
        <v>0</v>
      </c>
      <c r="AD25" s="215">
        <f t="shared" si="7"/>
        <v>0</v>
      </c>
      <c r="AE25" s="215">
        <f t="shared" si="7"/>
        <v>0</v>
      </c>
      <c r="AF25" s="215">
        <f t="shared" si="7"/>
        <v>0</v>
      </c>
    </row>
    <row r="26" spans="1:32" x14ac:dyDescent="0.25">
      <c r="A26" s="166">
        <v>17</v>
      </c>
      <c r="B26" s="27" t="s">
        <v>152</v>
      </c>
      <c r="C26" s="170">
        <v>174470</v>
      </c>
      <c r="D26" s="170">
        <v>154529</v>
      </c>
      <c r="E26" s="170">
        <v>328999</v>
      </c>
      <c r="F26" s="170">
        <v>119073</v>
      </c>
      <c r="G26" s="170">
        <v>97648</v>
      </c>
      <c r="H26" s="170">
        <v>216721</v>
      </c>
      <c r="I26" s="170">
        <v>3379</v>
      </c>
      <c r="J26" s="170">
        <v>5051</v>
      </c>
      <c r="K26" s="170">
        <v>8430</v>
      </c>
      <c r="L26" s="169">
        <v>122452</v>
      </c>
      <c r="M26" s="169">
        <v>102699</v>
      </c>
      <c r="N26" s="170">
        <v>225151</v>
      </c>
      <c r="O26" s="314">
        <v>70.185132114403629</v>
      </c>
      <c r="P26" s="314">
        <v>66.459370085873843</v>
      </c>
      <c r="Q26" s="314">
        <v>68.435162416907048</v>
      </c>
      <c r="R26" s="214">
        <f t="shared" si="3"/>
        <v>122452</v>
      </c>
      <c r="S26" s="214">
        <f t="shared" si="3"/>
        <v>102699</v>
      </c>
      <c r="T26" s="214">
        <f t="shared" si="3"/>
        <v>225151</v>
      </c>
      <c r="U26" s="250">
        <v>1995</v>
      </c>
      <c r="V26" s="250">
        <v>1093</v>
      </c>
      <c r="W26" s="214">
        <f t="shared" si="4"/>
        <v>3088</v>
      </c>
      <c r="X26" s="214">
        <v>20066</v>
      </c>
      <c r="Y26" s="214">
        <v>14628</v>
      </c>
      <c r="Z26" s="214">
        <f t="shared" si="5"/>
        <v>34694</v>
      </c>
      <c r="AA26" s="312">
        <f t="shared" si="6"/>
        <v>1.6292098128246171</v>
      </c>
      <c r="AB26" s="312">
        <f t="shared" si="6"/>
        <v>1.0642752120273811</v>
      </c>
      <c r="AC26" s="312">
        <f t="shared" si="6"/>
        <v>1.3715239994492583</v>
      </c>
      <c r="AD26" s="312">
        <f t="shared" si="7"/>
        <v>16.386829124881586</v>
      </c>
      <c r="AE26" s="312">
        <f t="shared" si="7"/>
        <v>14.24356614962171</v>
      </c>
      <c r="AF26" s="312">
        <f t="shared" si="7"/>
        <v>15.409214260651739</v>
      </c>
    </row>
    <row r="27" spans="1:32" ht="28.5" x14ac:dyDescent="0.25">
      <c r="A27" s="166">
        <v>18</v>
      </c>
      <c r="B27" s="27" t="s">
        <v>285</v>
      </c>
      <c r="C27" s="170">
        <v>439993</v>
      </c>
      <c r="D27" s="170">
        <v>385150</v>
      </c>
      <c r="E27" s="170">
        <v>825143</v>
      </c>
      <c r="F27" s="170">
        <v>315794</v>
      </c>
      <c r="G27" s="170">
        <v>312679</v>
      </c>
      <c r="H27" s="170">
        <v>628473</v>
      </c>
      <c r="I27" s="170">
        <v>46687</v>
      </c>
      <c r="J27" s="170">
        <v>26935</v>
      </c>
      <c r="K27" s="170">
        <v>73622</v>
      </c>
      <c r="L27" s="169">
        <v>362481</v>
      </c>
      <c r="M27" s="169">
        <v>339614</v>
      </c>
      <c r="N27" s="170">
        <v>702095</v>
      </c>
      <c r="O27" s="314">
        <v>82.383356098847031</v>
      </c>
      <c r="P27" s="314">
        <v>88.177073867324424</v>
      </c>
      <c r="Q27" s="314">
        <v>85.087675711967506</v>
      </c>
      <c r="R27" s="214">
        <f t="shared" si="3"/>
        <v>362481</v>
      </c>
      <c r="S27" s="214">
        <f t="shared" si="3"/>
        <v>339614</v>
      </c>
      <c r="T27" s="214">
        <f t="shared" si="3"/>
        <v>702095</v>
      </c>
      <c r="U27" s="250">
        <v>44327</v>
      </c>
      <c r="V27" s="250">
        <v>57479</v>
      </c>
      <c r="W27" s="214">
        <f t="shared" si="4"/>
        <v>101806</v>
      </c>
      <c r="X27" s="214">
        <v>74566</v>
      </c>
      <c r="Y27" s="214">
        <v>85191</v>
      </c>
      <c r="Z27" s="214">
        <f t="shared" si="5"/>
        <v>159757</v>
      </c>
      <c r="AA27" s="312">
        <f t="shared" si="6"/>
        <v>12.228778887721012</v>
      </c>
      <c r="AB27" s="312">
        <f t="shared" si="6"/>
        <v>16.92480286442844</v>
      </c>
      <c r="AC27" s="312">
        <f t="shared" si="6"/>
        <v>14.50031690868045</v>
      </c>
      <c r="AD27" s="312">
        <f t="shared" si="7"/>
        <v>20.571009239104946</v>
      </c>
      <c r="AE27" s="312">
        <f t="shared" si="7"/>
        <v>25.084654931775486</v>
      </c>
      <c r="AF27" s="312">
        <f t="shared" si="7"/>
        <v>22.754328117989733</v>
      </c>
    </row>
    <row r="28" spans="1:32" x14ac:dyDescent="0.25">
      <c r="A28" s="166">
        <v>19</v>
      </c>
      <c r="B28" s="27" t="s">
        <v>286</v>
      </c>
      <c r="C28" s="170">
        <v>234885</v>
      </c>
      <c r="D28" s="170">
        <v>235034</v>
      </c>
      <c r="E28" s="170">
        <v>469919</v>
      </c>
      <c r="F28" s="170">
        <v>217837</v>
      </c>
      <c r="G28" s="170">
        <v>223354</v>
      </c>
      <c r="H28" s="170">
        <v>441191</v>
      </c>
      <c r="I28" s="176">
        <v>0</v>
      </c>
      <c r="J28" s="176">
        <v>0</v>
      </c>
      <c r="K28" s="176">
        <v>0</v>
      </c>
      <c r="L28" s="169">
        <v>217837</v>
      </c>
      <c r="M28" s="169">
        <v>223354</v>
      </c>
      <c r="N28" s="170">
        <v>441191</v>
      </c>
      <c r="O28" s="314">
        <v>92.741980117930055</v>
      </c>
      <c r="P28" s="314">
        <v>95.030506224631324</v>
      </c>
      <c r="Q28" s="314">
        <v>93.886605989542886</v>
      </c>
      <c r="R28" s="214">
        <f t="shared" ref="R28:T43" si="8">L28</f>
        <v>217837</v>
      </c>
      <c r="S28" s="214">
        <f t="shared" si="8"/>
        <v>223354</v>
      </c>
      <c r="T28" s="214">
        <f t="shared" si="8"/>
        <v>441191</v>
      </c>
      <c r="U28" s="176"/>
      <c r="V28" s="176"/>
      <c r="W28" s="176">
        <f t="shared" si="4"/>
        <v>0</v>
      </c>
      <c r="X28" s="176"/>
      <c r="Y28" s="176"/>
      <c r="Z28" s="176">
        <f t="shared" si="5"/>
        <v>0</v>
      </c>
      <c r="AA28" s="215">
        <f t="shared" si="6"/>
        <v>0</v>
      </c>
      <c r="AB28" s="215">
        <f t="shared" si="6"/>
        <v>0</v>
      </c>
      <c r="AC28" s="215">
        <f t="shared" si="6"/>
        <v>0</v>
      </c>
      <c r="AD28" s="215">
        <f t="shared" si="7"/>
        <v>0</v>
      </c>
      <c r="AE28" s="215">
        <f t="shared" si="7"/>
        <v>0</v>
      </c>
      <c r="AF28" s="215">
        <f t="shared" si="7"/>
        <v>0</v>
      </c>
    </row>
    <row r="29" spans="1:32" ht="28.5" x14ac:dyDescent="0.25">
      <c r="A29" s="166">
        <v>20</v>
      </c>
      <c r="B29" s="27" t="s">
        <v>271</v>
      </c>
      <c r="C29" s="170">
        <v>939268</v>
      </c>
      <c r="D29" s="170">
        <v>761477</v>
      </c>
      <c r="E29" s="170">
        <v>1700745</v>
      </c>
      <c r="F29" s="170">
        <v>678323</v>
      </c>
      <c r="G29" s="170">
        <v>597155</v>
      </c>
      <c r="H29" s="170">
        <v>1275478</v>
      </c>
      <c r="I29" s="170">
        <v>20260</v>
      </c>
      <c r="J29" s="170">
        <v>11996</v>
      </c>
      <c r="K29" s="170">
        <v>32256</v>
      </c>
      <c r="L29" s="169">
        <v>698583</v>
      </c>
      <c r="M29" s="169">
        <v>609151</v>
      </c>
      <c r="N29" s="170">
        <v>1307734</v>
      </c>
      <c r="O29" s="314">
        <v>74.375258179774036</v>
      </c>
      <c r="P29" s="314">
        <v>79.995981493859958</v>
      </c>
      <c r="Q29" s="314">
        <v>76.891832696847558</v>
      </c>
      <c r="R29" s="214">
        <v>698583</v>
      </c>
      <c r="S29" s="214">
        <v>609151</v>
      </c>
      <c r="T29" s="214">
        <v>1307734</v>
      </c>
      <c r="U29" s="250">
        <v>109306</v>
      </c>
      <c r="V29" s="250">
        <v>117307</v>
      </c>
      <c r="W29" s="214">
        <v>226613</v>
      </c>
      <c r="X29" s="214">
        <v>231567</v>
      </c>
      <c r="Y29" s="214">
        <v>230270</v>
      </c>
      <c r="Z29" s="214">
        <v>461837</v>
      </c>
      <c r="AA29" s="312">
        <v>15.646816484225926</v>
      </c>
      <c r="AB29" s="312">
        <v>19.257458331349696</v>
      </c>
      <c r="AC29" s="312">
        <v>17.32867693277073</v>
      </c>
      <c r="AD29" s="312">
        <v>33.148101227771072</v>
      </c>
      <c r="AE29" s="312">
        <v>37.801792987288863</v>
      </c>
      <c r="AF29" s="312">
        <v>35.31582110735058</v>
      </c>
    </row>
    <row r="30" spans="1:32" ht="28.5" x14ac:dyDescent="0.25">
      <c r="A30" s="166">
        <v>21</v>
      </c>
      <c r="B30" s="27" t="s">
        <v>272</v>
      </c>
      <c r="C30" s="170">
        <v>517210</v>
      </c>
      <c r="D30" s="170">
        <v>392710</v>
      </c>
      <c r="E30" s="170">
        <v>909920</v>
      </c>
      <c r="F30" s="170">
        <v>246266</v>
      </c>
      <c r="G30" s="170">
        <v>192035</v>
      </c>
      <c r="H30" s="170">
        <v>438301</v>
      </c>
      <c r="I30" s="170">
        <v>43354</v>
      </c>
      <c r="J30" s="170">
        <v>37201</v>
      </c>
      <c r="K30" s="170">
        <v>80555</v>
      </c>
      <c r="L30" s="169">
        <v>289620</v>
      </c>
      <c r="M30" s="169">
        <v>229236</v>
      </c>
      <c r="N30" s="170">
        <v>518856</v>
      </c>
      <c r="O30" s="314">
        <v>55.996597126892368</v>
      </c>
      <c r="P30" s="314">
        <v>58.37284510198365</v>
      </c>
      <c r="Q30" s="314">
        <v>57.02215579391595</v>
      </c>
      <c r="R30" s="214">
        <f t="shared" si="8"/>
        <v>289620</v>
      </c>
      <c r="S30" s="214">
        <f t="shared" si="8"/>
        <v>229236</v>
      </c>
      <c r="T30" s="214">
        <f t="shared" si="8"/>
        <v>518856</v>
      </c>
      <c r="U30" s="250">
        <v>28573</v>
      </c>
      <c r="V30" s="250">
        <v>24946</v>
      </c>
      <c r="W30" s="214">
        <f t="shared" si="4"/>
        <v>53519</v>
      </c>
      <c r="X30" s="214">
        <v>77015</v>
      </c>
      <c r="Y30" s="214">
        <v>62524</v>
      </c>
      <c r="Z30" s="214">
        <f t="shared" si="5"/>
        <v>139539</v>
      </c>
      <c r="AA30" s="312">
        <f t="shared" si="6"/>
        <v>9.8656860714039087</v>
      </c>
      <c r="AB30" s="312">
        <f t="shared" si="6"/>
        <v>10.88223490202237</v>
      </c>
      <c r="AC30" s="312">
        <f t="shared" si="6"/>
        <v>10.314807962132074</v>
      </c>
      <c r="AD30" s="312">
        <f t="shared" si="7"/>
        <v>26.591740901871418</v>
      </c>
      <c r="AE30" s="312">
        <f t="shared" si="7"/>
        <v>27.274948088432879</v>
      </c>
      <c r="AF30" s="312">
        <f t="shared" si="7"/>
        <v>26.893588972662933</v>
      </c>
    </row>
    <row r="31" spans="1:32" x14ac:dyDescent="0.25">
      <c r="A31" s="166">
        <v>22</v>
      </c>
      <c r="B31" s="27" t="s">
        <v>141</v>
      </c>
      <c r="C31" s="170">
        <v>14947</v>
      </c>
      <c r="D31" s="170">
        <v>15103</v>
      </c>
      <c r="E31" s="170">
        <v>30050</v>
      </c>
      <c r="F31" s="170">
        <v>11119</v>
      </c>
      <c r="G31" s="170">
        <v>10028</v>
      </c>
      <c r="H31" s="170">
        <v>21147</v>
      </c>
      <c r="I31" s="170">
        <v>1694</v>
      </c>
      <c r="J31" s="170">
        <v>1957</v>
      </c>
      <c r="K31" s="170">
        <v>3651</v>
      </c>
      <c r="L31" s="169">
        <v>12813</v>
      </c>
      <c r="M31" s="169">
        <v>11985</v>
      </c>
      <c r="N31" s="170">
        <v>24798</v>
      </c>
      <c r="O31" s="314">
        <v>85.722887535960396</v>
      </c>
      <c r="P31" s="314">
        <v>79.355095014235573</v>
      </c>
      <c r="Q31" s="314">
        <v>82.522462562396001</v>
      </c>
      <c r="R31" s="214">
        <v>12813</v>
      </c>
      <c r="S31" s="214">
        <v>11985</v>
      </c>
      <c r="T31" s="214">
        <v>24798</v>
      </c>
      <c r="U31" s="250">
        <v>485</v>
      </c>
      <c r="V31" s="250">
        <v>257</v>
      </c>
      <c r="W31" s="214">
        <v>742</v>
      </c>
      <c r="X31" s="214">
        <v>3462</v>
      </c>
      <c r="Y31" s="214">
        <v>2886</v>
      </c>
      <c r="Z31" s="214">
        <v>6348</v>
      </c>
      <c r="AA31" s="312">
        <v>3.7852181378287679</v>
      </c>
      <c r="AB31" s="312">
        <v>2.1443471005423449</v>
      </c>
      <c r="AC31" s="312">
        <v>2.9921767884506818</v>
      </c>
      <c r="AD31" s="312">
        <v>27.01943338796535</v>
      </c>
      <c r="AE31" s="312">
        <v>24.080100125156445</v>
      </c>
      <c r="AF31" s="312">
        <v>25.598838616017421</v>
      </c>
    </row>
    <row r="32" spans="1:32" x14ac:dyDescent="0.25">
      <c r="A32" s="166">
        <v>23</v>
      </c>
      <c r="B32" s="27" t="s">
        <v>299</v>
      </c>
      <c r="C32" s="170">
        <v>16549</v>
      </c>
      <c r="D32" s="170">
        <v>19573</v>
      </c>
      <c r="E32" s="170">
        <v>36122</v>
      </c>
      <c r="F32" s="170">
        <v>7787</v>
      </c>
      <c r="G32" s="170">
        <v>8957</v>
      </c>
      <c r="H32" s="170">
        <v>16744</v>
      </c>
      <c r="I32" s="176"/>
      <c r="J32" s="176"/>
      <c r="K32" s="176"/>
      <c r="L32" s="169">
        <v>7787</v>
      </c>
      <c r="M32" s="169">
        <v>8957</v>
      </c>
      <c r="N32" s="170">
        <v>16744</v>
      </c>
      <c r="O32" s="314">
        <v>47.054202670856242</v>
      </c>
      <c r="P32" s="314">
        <v>45.762019107954835</v>
      </c>
      <c r="Q32" s="314">
        <v>46.354022479375452</v>
      </c>
      <c r="R32" s="170">
        <f t="shared" si="8"/>
        <v>7787</v>
      </c>
      <c r="S32" s="170">
        <f t="shared" si="8"/>
        <v>8957</v>
      </c>
      <c r="T32" s="170">
        <f t="shared" si="8"/>
        <v>16744</v>
      </c>
      <c r="U32" s="170">
        <v>1218</v>
      </c>
      <c r="V32" s="170">
        <v>1308</v>
      </c>
      <c r="W32" s="170">
        <f t="shared" si="4"/>
        <v>2526</v>
      </c>
      <c r="X32" s="170">
        <v>2053</v>
      </c>
      <c r="Y32" s="170">
        <v>2365</v>
      </c>
      <c r="Z32" s="170">
        <f t="shared" si="5"/>
        <v>4418</v>
      </c>
      <c r="AA32" s="314">
        <f t="shared" si="6"/>
        <v>15.641453704892768</v>
      </c>
      <c r="AB32" s="314">
        <f t="shared" si="6"/>
        <v>14.603103717762645</v>
      </c>
      <c r="AC32" s="314">
        <f t="shared" si="6"/>
        <v>15.086000955566174</v>
      </c>
      <c r="AD32" s="314">
        <f t="shared" si="7"/>
        <v>26.364453576473608</v>
      </c>
      <c r="AE32" s="314">
        <f t="shared" si="7"/>
        <v>26.403929887239034</v>
      </c>
      <c r="AF32" s="314">
        <f t="shared" si="7"/>
        <v>26.385570950788342</v>
      </c>
    </row>
    <row r="33" spans="1:32" x14ac:dyDescent="0.25">
      <c r="A33" s="166">
        <v>24</v>
      </c>
      <c r="B33" s="27" t="s">
        <v>159</v>
      </c>
      <c r="C33" s="170">
        <v>7209</v>
      </c>
      <c r="D33" s="170">
        <v>7740</v>
      </c>
      <c r="E33" s="170">
        <v>14949</v>
      </c>
      <c r="F33" s="170">
        <v>5242</v>
      </c>
      <c r="G33" s="170">
        <v>5558</v>
      </c>
      <c r="H33" s="170">
        <v>10800</v>
      </c>
      <c r="I33" s="170">
        <v>87</v>
      </c>
      <c r="J33" s="170">
        <v>93</v>
      </c>
      <c r="K33" s="170">
        <v>180</v>
      </c>
      <c r="L33" s="169">
        <v>5329</v>
      </c>
      <c r="M33" s="169">
        <v>5651</v>
      </c>
      <c r="N33" s="170">
        <v>10980</v>
      </c>
      <c r="O33" s="314">
        <v>73.921487030101261</v>
      </c>
      <c r="P33" s="314">
        <v>73.010335917312659</v>
      </c>
      <c r="Q33" s="314">
        <v>73.44972907886816</v>
      </c>
      <c r="R33" s="214">
        <f t="shared" si="8"/>
        <v>5329</v>
      </c>
      <c r="S33" s="214">
        <f t="shared" si="8"/>
        <v>5651</v>
      </c>
      <c r="T33" s="214">
        <f t="shared" si="8"/>
        <v>10980</v>
      </c>
      <c r="U33" s="250">
        <v>350</v>
      </c>
      <c r="V33" s="250">
        <v>368</v>
      </c>
      <c r="W33" s="214">
        <f t="shared" si="4"/>
        <v>718</v>
      </c>
      <c r="X33" s="214">
        <v>1179</v>
      </c>
      <c r="Y33" s="214">
        <v>1149</v>
      </c>
      <c r="Z33" s="214">
        <f t="shared" si="5"/>
        <v>2328</v>
      </c>
      <c r="AA33" s="312">
        <f t="shared" si="6"/>
        <v>6.5678363670482272</v>
      </c>
      <c r="AB33" s="312">
        <f t="shared" si="6"/>
        <v>6.5121217483631222</v>
      </c>
      <c r="AC33" s="312">
        <f t="shared" si="6"/>
        <v>6.5391621129326047</v>
      </c>
      <c r="AD33" s="312">
        <f t="shared" si="7"/>
        <v>22.124225933571026</v>
      </c>
      <c r="AE33" s="312">
        <f t="shared" si="7"/>
        <v>20.332684480622898</v>
      </c>
      <c r="AF33" s="312">
        <f t="shared" si="7"/>
        <v>21.202185792349727</v>
      </c>
    </row>
    <row r="34" spans="1:32" x14ac:dyDescent="0.25">
      <c r="A34" s="166">
        <v>25</v>
      </c>
      <c r="B34" s="27" t="s">
        <v>160</v>
      </c>
      <c r="C34" s="170">
        <v>10211</v>
      </c>
      <c r="D34" s="170">
        <v>10134</v>
      </c>
      <c r="E34" s="170">
        <v>20345</v>
      </c>
      <c r="F34" s="170">
        <v>6503</v>
      </c>
      <c r="G34" s="170">
        <v>5960</v>
      </c>
      <c r="H34" s="170">
        <v>12463</v>
      </c>
      <c r="I34" s="176">
        <v>0</v>
      </c>
      <c r="J34" s="176">
        <v>0</v>
      </c>
      <c r="K34" s="176">
        <v>0</v>
      </c>
      <c r="L34" s="169">
        <v>6503</v>
      </c>
      <c r="M34" s="169">
        <v>5960</v>
      </c>
      <c r="N34" s="170">
        <v>12463</v>
      </c>
      <c r="O34" s="314">
        <v>63.686220742336694</v>
      </c>
      <c r="P34" s="314">
        <v>58.811920268403398</v>
      </c>
      <c r="Q34" s="314">
        <v>61.258294421233714</v>
      </c>
      <c r="R34" s="214">
        <f t="shared" si="8"/>
        <v>6503</v>
      </c>
      <c r="S34" s="214">
        <f t="shared" si="8"/>
        <v>5960</v>
      </c>
      <c r="T34" s="214">
        <f t="shared" si="8"/>
        <v>12463</v>
      </c>
      <c r="U34" s="250">
        <v>295</v>
      </c>
      <c r="V34" s="250">
        <v>284</v>
      </c>
      <c r="W34" s="214">
        <f t="shared" si="4"/>
        <v>579</v>
      </c>
      <c r="X34" s="214">
        <v>1027</v>
      </c>
      <c r="Y34" s="214">
        <v>1044</v>
      </c>
      <c r="Z34" s="214">
        <f t="shared" si="5"/>
        <v>2071</v>
      </c>
      <c r="AA34" s="312">
        <f t="shared" si="6"/>
        <v>4.5363678302322006</v>
      </c>
      <c r="AB34" s="312">
        <f t="shared" si="6"/>
        <v>4.7651006711409396</v>
      </c>
      <c r="AC34" s="312">
        <f t="shared" si="6"/>
        <v>4.6457514242156783</v>
      </c>
      <c r="AD34" s="312">
        <f t="shared" si="7"/>
        <v>15.792711056435492</v>
      </c>
      <c r="AE34" s="312">
        <f t="shared" si="7"/>
        <v>17.516778523489933</v>
      </c>
      <c r="AF34" s="312">
        <f t="shared" si="7"/>
        <v>16.617186873144508</v>
      </c>
    </row>
    <row r="35" spans="1:32" x14ac:dyDescent="0.25">
      <c r="A35" s="166">
        <v>26</v>
      </c>
      <c r="B35" s="27" t="s">
        <v>300</v>
      </c>
      <c r="C35" s="170">
        <v>223392</v>
      </c>
      <c r="D35" s="170">
        <v>229183</v>
      </c>
      <c r="E35" s="170">
        <v>452575</v>
      </c>
      <c r="F35" s="170">
        <v>158097</v>
      </c>
      <c r="G35" s="170">
        <v>154661</v>
      </c>
      <c r="H35" s="170">
        <v>312758</v>
      </c>
      <c r="I35" s="176">
        <v>0</v>
      </c>
      <c r="J35" s="176">
        <v>0</v>
      </c>
      <c r="K35" s="176">
        <v>0</v>
      </c>
      <c r="L35" s="169">
        <v>158097</v>
      </c>
      <c r="M35" s="169">
        <v>154661</v>
      </c>
      <c r="N35" s="170">
        <v>312758</v>
      </c>
      <c r="O35" s="314">
        <v>70.771110872367856</v>
      </c>
      <c r="P35" s="314">
        <v>67.483626621520798</v>
      </c>
      <c r="Q35" s="314">
        <v>69.106335966414406</v>
      </c>
      <c r="R35" s="214">
        <f t="shared" si="8"/>
        <v>158097</v>
      </c>
      <c r="S35" s="214">
        <f t="shared" si="8"/>
        <v>154661</v>
      </c>
      <c r="T35" s="214">
        <f t="shared" si="8"/>
        <v>312758</v>
      </c>
      <c r="U35" s="176"/>
      <c r="V35" s="176"/>
      <c r="W35" s="176">
        <f t="shared" si="4"/>
        <v>0</v>
      </c>
      <c r="X35" s="176"/>
      <c r="Y35" s="176"/>
      <c r="Z35" s="176">
        <f t="shared" si="5"/>
        <v>0</v>
      </c>
      <c r="AA35" s="215">
        <f t="shared" si="6"/>
        <v>0</v>
      </c>
      <c r="AB35" s="215">
        <f t="shared" si="6"/>
        <v>0</v>
      </c>
      <c r="AC35" s="215">
        <f t="shared" si="6"/>
        <v>0</v>
      </c>
      <c r="AD35" s="215">
        <f t="shared" si="7"/>
        <v>0</v>
      </c>
      <c r="AE35" s="215">
        <f t="shared" si="7"/>
        <v>0</v>
      </c>
      <c r="AF35" s="215">
        <f t="shared" si="7"/>
        <v>0</v>
      </c>
    </row>
    <row r="36" spans="1:32" x14ac:dyDescent="0.25">
      <c r="A36" s="166">
        <v>27</v>
      </c>
      <c r="B36" s="27" t="s">
        <v>162</v>
      </c>
      <c r="C36" s="170">
        <v>214803</v>
      </c>
      <c r="D36" s="170">
        <v>171342</v>
      </c>
      <c r="E36" s="170">
        <v>386145</v>
      </c>
      <c r="F36" s="170">
        <v>151361</v>
      </c>
      <c r="G36" s="170">
        <v>133849</v>
      </c>
      <c r="H36" s="170">
        <v>285210</v>
      </c>
      <c r="I36" s="170">
        <v>16707</v>
      </c>
      <c r="J36" s="170">
        <v>10456</v>
      </c>
      <c r="K36" s="170">
        <v>27163</v>
      </c>
      <c r="L36" s="169">
        <v>168068</v>
      </c>
      <c r="M36" s="169">
        <v>144305</v>
      </c>
      <c r="N36" s="170">
        <v>312373</v>
      </c>
      <c r="O36" s="314">
        <v>78.242855081167392</v>
      </c>
      <c r="P36" s="314">
        <v>84.220447992903075</v>
      </c>
      <c r="Q36" s="314">
        <v>80.895259552758674</v>
      </c>
      <c r="R36" s="214">
        <f t="shared" si="8"/>
        <v>168068</v>
      </c>
      <c r="S36" s="214">
        <f t="shared" si="8"/>
        <v>144305</v>
      </c>
      <c r="T36" s="214">
        <f t="shared" si="8"/>
        <v>312373</v>
      </c>
      <c r="U36" s="250">
        <v>15851</v>
      </c>
      <c r="V36" s="250">
        <v>30375</v>
      </c>
      <c r="W36" s="214">
        <f t="shared" si="4"/>
        <v>46226</v>
      </c>
      <c r="X36" s="214">
        <v>66284</v>
      </c>
      <c r="Y36" s="214">
        <v>64331</v>
      </c>
      <c r="Z36" s="214">
        <f t="shared" si="5"/>
        <v>130615</v>
      </c>
      <c r="AA36" s="312">
        <f t="shared" si="6"/>
        <v>9.4313016160125667</v>
      </c>
      <c r="AB36" s="312">
        <f t="shared" si="6"/>
        <v>21.049166695540695</v>
      </c>
      <c r="AC36" s="312">
        <f t="shared" si="6"/>
        <v>14.798334042955057</v>
      </c>
      <c r="AD36" s="312">
        <f t="shared" si="7"/>
        <v>39.438798581526527</v>
      </c>
      <c r="AE36" s="312">
        <f t="shared" si="7"/>
        <v>44.579882886940858</v>
      </c>
      <c r="AF36" s="312">
        <f t="shared" si="7"/>
        <v>41.81379312552621</v>
      </c>
    </row>
    <row r="37" spans="1:32" ht="28.5" x14ac:dyDescent="0.25">
      <c r="A37" s="166">
        <v>28</v>
      </c>
      <c r="B37" s="27" t="s">
        <v>212</v>
      </c>
      <c r="C37" s="170">
        <v>605575</v>
      </c>
      <c r="D37" s="170">
        <v>397448</v>
      </c>
      <c r="E37" s="170">
        <v>1003023</v>
      </c>
      <c r="F37" s="170">
        <v>374545</v>
      </c>
      <c r="G37" s="170">
        <v>246802</v>
      </c>
      <c r="H37" s="170">
        <v>621347</v>
      </c>
      <c r="I37" s="170">
        <v>12691</v>
      </c>
      <c r="J37" s="170">
        <v>10765</v>
      </c>
      <c r="K37" s="170">
        <v>23456</v>
      </c>
      <c r="L37" s="169">
        <v>387236</v>
      </c>
      <c r="M37" s="169">
        <v>257567</v>
      </c>
      <c r="N37" s="170">
        <v>644803</v>
      </c>
      <c r="O37" s="314">
        <v>63.945176072327961</v>
      </c>
      <c r="P37" s="314">
        <v>64.805207222076859</v>
      </c>
      <c r="Q37" s="314">
        <v>64.285963532242036</v>
      </c>
      <c r="R37" s="214">
        <f t="shared" si="8"/>
        <v>387236</v>
      </c>
      <c r="S37" s="214">
        <f t="shared" si="8"/>
        <v>257567</v>
      </c>
      <c r="T37" s="214">
        <f t="shared" si="8"/>
        <v>644803</v>
      </c>
      <c r="U37" s="250">
        <v>12372</v>
      </c>
      <c r="V37" s="250">
        <v>7646</v>
      </c>
      <c r="W37" s="214">
        <f t="shared" si="4"/>
        <v>20018</v>
      </c>
      <c r="X37" s="214">
        <v>60559</v>
      </c>
      <c r="Y37" s="214">
        <v>39806</v>
      </c>
      <c r="Z37" s="214">
        <f t="shared" si="5"/>
        <v>100365</v>
      </c>
      <c r="AA37" s="312">
        <f t="shared" si="6"/>
        <v>3.1949508826658679</v>
      </c>
      <c r="AB37" s="312">
        <f t="shared" si="6"/>
        <v>2.9685479894551707</v>
      </c>
      <c r="AC37" s="312">
        <f t="shared" si="6"/>
        <v>3.1045140919009375</v>
      </c>
      <c r="AD37" s="312">
        <f t="shared" si="7"/>
        <v>15.638783584170893</v>
      </c>
      <c r="AE37" s="312">
        <f t="shared" si="7"/>
        <v>15.454619574712599</v>
      </c>
      <c r="AF37" s="312">
        <f t="shared" si="7"/>
        <v>15.565219144451872</v>
      </c>
    </row>
    <row r="38" spans="1:32" ht="28.5" x14ac:dyDescent="0.25">
      <c r="A38" s="166">
        <v>29</v>
      </c>
      <c r="B38" s="27" t="s">
        <v>274</v>
      </c>
      <c r="C38" s="170">
        <v>577824</v>
      </c>
      <c r="D38" s="170">
        <v>545338</v>
      </c>
      <c r="E38" s="170">
        <v>1123162</v>
      </c>
      <c r="F38" s="170">
        <v>455567</v>
      </c>
      <c r="G38" s="170">
        <v>475094</v>
      </c>
      <c r="H38" s="170">
        <v>930661</v>
      </c>
      <c r="I38" s="170">
        <v>15070</v>
      </c>
      <c r="J38" s="170">
        <v>11488</v>
      </c>
      <c r="K38" s="170">
        <v>26558</v>
      </c>
      <c r="L38" s="169">
        <v>470637</v>
      </c>
      <c r="M38" s="169">
        <v>486582</v>
      </c>
      <c r="N38" s="170">
        <v>957219</v>
      </c>
      <c r="O38" s="314">
        <v>81.449887855125439</v>
      </c>
      <c r="P38" s="314">
        <v>89.225764571696814</v>
      </c>
      <c r="Q38" s="314">
        <v>85.225372653277091</v>
      </c>
      <c r="R38" s="214">
        <v>470637</v>
      </c>
      <c r="S38" s="214">
        <v>486582</v>
      </c>
      <c r="T38" s="214">
        <v>957219</v>
      </c>
      <c r="U38" s="176"/>
      <c r="V38" s="176"/>
      <c r="W38" s="176">
        <v>0</v>
      </c>
      <c r="X38" s="176"/>
      <c r="Y38" s="176"/>
      <c r="Z38" s="176">
        <v>0</v>
      </c>
      <c r="AA38" s="215">
        <v>0</v>
      </c>
      <c r="AB38" s="215">
        <v>0</v>
      </c>
      <c r="AC38" s="215">
        <v>0</v>
      </c>
      <c r="AD38" s="215">
        <v>0</v>
      </c>
      <c r="AE38" s="215">
        <v>0</v>
      </c>
      <c r="AF38" s="215">
        <v>0</v>
      </c>
    </row>
    <row r="39" spans="1:32" x14ac:dyDescent="0.25">
      <c r="A39" s="166">
        <v>30</v>
      </c>
      <c r="B39" s="27" t="s">
        <v>301</v>
      </c>
      <c r="C39" s="170">
        <v>24129</v>
      </c>
      <c r="D39" s="170">
        <v>21659</v>
      </c>
      <c r="E39" s="170">
        <v>45788</v>
      </c>
      <c r="F39" s="170">
        <v>13775</v>
      </c>
      <c r="G39" s="170">
        <v>11337</v>
      </c>
      <c r="H39" s="170">
        <v>25112</v>
      </c>
      <c r="I39" s="176">
        <v>0</v>
      </c>
      <c r="J39" s="176">
        <v>0</v>
      </c>
      <c r="K39" s="176">
        <v>0</v>
      </c>
      <c r="L39" s="169">
        <v>13775</v>
      </c>
      <c r="M39" s="169">
        <v>11337</v>
      </c>
      <c r="N39" s="170">
        <v>25112</v>
      </c>
      <c r="O39" s="314">
        <v>57.08898006548138</v>
      </c>
      <c r="P39" s="314">
        <v>52.343136802253113</v>
      </c>
      <c r="Q39" s="314">
        <v>54.844063946885647</v>
      </c>
      <c r="R39" s="214">
        <f t="shared" si="8"/>
        <v>13775</v>
      </c>
      <c r="S39" s="214">
        <f t="shared" si="8"/>
        <v>11337</v>
      </c>
      <c r="T39" s="214">
        <f t="shared" si="8"/>
        <v>25112</v>
      </c>
      <c r="U39" s="176"/>
      <c r="V39" s="176"/>
      <c r="W39" s="176">
        <f t="shared" si="4"/>
        <v>0</v>
      </c>
      <c r="X39" s="214">
        <v>1242</v>
      </c>
      <c r="Y39" s="214">
        <v>884</v>
      </c>
      <c r="Z39" s="214">
        <f t="shared" si="5"/>
        <v>2126</v>
      </c>
      <c r="AA39" s="215">
        <f t="shared" si="6"/>
        <v>0</v>
      </c>
      <c r="AB39" s="215">
        <f t="shared" si="6"/>
        <v>0</v>
      </c>
      <c r="AC39" s="215">
        <f t="shared" si="6"/>
        <v>0</v>
      </c>
      <c r="AD39" s="312">
        <f t="shared" si="7"/>
        <v>9.0163339382940109</v>
      </c>
      <c r="AE39" s="312">
        <f t="shared" si="7"/>
        <v>7.7974772867601656</v>
      </c>
      <c r="AF39" s="312">
        <f t="shared" si="7"/>
        <v>8.4660719974514169</v>
      </c>
    </row>
    <row r="40" spans="1:32" ht="28.5" x14ac:dyDescent="0.25">
      <c r="A40" s="166">
        <v>31</v>
      </c>
      <c r="B40" s="27" t="s">
        <v>302</v>
      </c>
      <c r="C40" s="170">
        <v>1922649</v>
      </c>
      <c r="D40" s="170">
        <v>1382924</v>
      </c>
      <c r="E40" s="170">
        <v>3305573</v>
      </c>
      <c r="F40" s="170">
        <v>1267375</v>
      </c>
      <c r="G40" s="170">
        <v>1072602</v>
      </c>
      <c r="H40" s="170">
        <v>2339977</v>
      </c>
      <c r="I40" s="170">
        <v>31662</v>
      </c>
      <c r="J40" s="170">
        <v>14062</v>
      </c>
      <c r="K40" s="170">
        <v>45724</v>
      </c>
      <c r="L40" s="169">
        <v>1299037</v>
      </c>
      <c r="M40" s="169">
        <v>1086664</v>
      </c>
      <c r="N40" s="170">
        <v>2385701</v>
      </c>
      <c r="O40" s="314">
        <v>67.564958554577572</v>
      </c>
      <c r="P40" s="314">
        <v>78.577275396189521</v>
      </c>
      <c r="Q40" s="314">
        <v>72.172086352351016</v>
      </c>
      <c r="R40" s="214">
        <f t="shared" si="8"/>
        <v>1299037</v>
      </c>
      <c r="S40" s="214">
        <f t="shared" si="8"/>
        <v>1086664</v>
      </c>
      <c r="T40" s="214">
        <f t="shared" si="8"/>
        <v>2385701</v>
      </c>
      <c r="U40" s="176"/>
      <c r="V40" s="176"/>
      <c r="W40" s="176">
        <f t="shared" si="4"/>
        <v>0</v>
      </c>
      <c r="X40" s="176"/>
      <c r="Y40" s="176"/>
      <c r="Z40" s="176">
        <f t="shared" si="5"/>
        <v>0</v>
      </c>
      <c r="AA40" s="215">
        <f t="shared" si="6"/>
        <v>0</v>
      </c>
      <c r="AB40" s="215">
        <f t="shared" si="6"/>
        <v>0</v>
      </c>
      <c r="AC40" s="215">
        <f t="shared" si="6"/>
        <v>0</v>
      </c>
      <c r="AD40" s="215">
        <f t="shared" si="7"/>
        <v>0</v>
      </c>
      <c r="AE40" s="215">
        <f t="shared" si="7"/>
        <v>0</v>
      </c>
      <c r="AF40" s="215">
        <f t="shared" si="7"/>
        <v>0</v>
      </c>
    </row>
    <row r="41" spans="1:32" x14ac:dyDescent="0.25">
      <c r="A41" s="166">
        <v>32</v>
      </c>
      <c r="B41" s="27" t="s">
        <v>276</v>
      </c>
      <c r="C41" s="170">
        <v>93853</v>
      </c>
      <c r="D41" s="170">
        <v>84885</v>
      </c>
      <c r="E41" s="170">
        <v>178738</v>
      </c>
      <c r="F41" s="170">
        <v>60980</v>
      </c>
      <c r="G41" s="170">
        <v>64604</v>
      </c>
      <c r="H41" s="170">
        <v>125584</v>
      </c>
      <c r="I41" s="176">
        <v>0</v>
      </c>
      <c r="J41" s="176">
        <v>0</v>
      </c>
      <c r="K41" s="176">
        <v>0</v>
      </c>
      <c r="L41" s="169">
        <v>60980</v>
      </c>
      <c r="M41" s="169">
        <v>64604</v>
      </c>
      <c r="N41" s="170">
        <v>125584</v>
      </c>
      <c r="O41" s="314">
        <v>64.973948621780877</v>
      </c>
      <c r="P41" s="314">
        <v>76.10767508982741</v>
      </c>
      <c r="Q41" s="314">
        <v>70.261500072732147</v>
      </c>
      <c r="R41" s="214">
        <f t="shared" si="8"/>
        <v>60980</v>
      </c>
      <c r="S41" s="214">
        <f t="shared" si="8"/>
        <v>64604</v>
      </c>
      <c r="T41" s="214">
        <f t="shared" si="8"/>
        <v>125584</v>
      </c>
      <c r="U41" s="250">
        <v>1713</v>
      </c>
      <c r="V41" s="250">
        <v>1270</v>
      </c>
      <c r="W41" s="214">
        <f t="shared" si="4"/>
        <v>2983</v>
      </c>
      <c r="X41" s="214">
        <v>12719</v>
      </c>
      <c r="Y41" s="214">
        <v>13259</v>
      </c>
      <c r="Z41" s="214">
        <f t="shared" si="5"/>
        <v>25978</v>
      </c>
      <c r="AA41" s="312">
        <f t="shared" si="6"/>
        <v>2.8091177435224668</v>
      </c>
      <c r="AB41" s="312">
        <f t="shared" si="6"/>
        <v>1.9658225496873261</v>
      </c>
      <c r="AC41" s="312">
        <f t="shared" si="6"/>
        <v>2.3753025863167285</v>
      </c>
      <c r="AD41" s="312">
        <f t="shared" si="7"/>
        <v>20.857658248606104</v>
      </c>
      <c r="AE41" s="312">
        <f t="shared" si="7"/>
        <v>20.523496997089964</v>
      </c>
      <c r="AF41" s="312">
        <f t="shared" si="7"/>
        <v>20.685756147279911</v>
      </c>
    </row>
    <row r="42" spans="1:32" ht="28.5" x14ac:dyDescent="0.25">
      <c r="A42" s="166">
        <v>33</v>
      </c>
      <c r="B42" s="27" t="s">
        <v>172</v>
      </c>
      <c r="C42" s="170">
        <v>465514</v>
      </c>
      <c r="D42" s="170">
        <v>498783</v>
      </c>
      <c r="E42" s="170">
        <v>964297</v>
      </c>
      <c r="F42" s="170">
        <v>388509</v>
      </c>
      <c r="G42" s="170">
        <v>367027</v>
      </c>
      <c r="H42" s="170">
        <v>755536</v>
      </c>
      <c r="I42" s="170">
        <v>16245</v>
      </c>
      <c r="J42" s="170">
        <v>16324</v>
      </c>
      <c r="K42" s="170">
        <v>32569</v>
      </c>
      <c r="L42" s="169">
        <v>404754</v>
      </c>
      <c r="M42" s="169">
        <v>383351</v>
      </c>
      <c r="N42" s="170">
        <v>788105</v>
      </c>
      <c r="O42" s="314">
        <v>86.947760969594896</v>
      </c>
      <c r="P42" s="314">
        <v>76.857270596632205</v>
      </c>
      <c r="Q42" s="314">
        <v>81.728450881834121</v>
      </c>
      <c r="R42" s="214">
        <f t="shared" si="8"/>
        <v>404754</v>
      </c>
      <c r="S42" s="214">
        <f t="shared" si="8"/>
        <v>383351</v>
      </c>
      <c r="T42" s="214">
        <f t="shared" si="8"/>
        <v>788105</v>
      </c>
      <c r="U42" s="176"/>
      <c r="V42" s="176"/>
      <c r="W42" s="176">
        <f t="shared" si="4"/>
        <v>0</v>
      </c>
      <c r="X42" s="176"/>
      <c r="Y42" s="176"/>
      <c r="Z42" s="176">
        <f t="shared" si="5"/>
        <v>0</v>
      </c>
      <c r="AA42" s="215">
        <f t="shared" si="6"/>
        <v>0</v>
      </c>
      <c r="AB42" s="215">
        <f t="shared" si="6"/>
        <v>0</v>
      </c>
      <c r="AC42" s="215">
        <f t="shared" si="6"/>
        <v>0</v>
      </c>
      <c r="AD42" s="215">
        <f t="shared" si="7"/>
        <v>0</v>
      </c>
      <c r="AE42" s="215">
        <f t="shared" si="7"/>
        <v>0</v>
      </c>
      <c r="AF42" s="215">
        <f t="shared" si="7"/>
        <v>0</v>
      </c>
    </row>
    <row r="43" spans="1:32" ht="28.5" x14ac:dyDescent="0.25">
      <c r="A43" s="267">
        <v>34</v>
      </c>
      <c r="B43" s="80" t="s">
        <v>277</v>
      </c>
      <c r="C43" s="189">
        <v>16951</v>
      </c>
      <c r="D43" s="189">
        <v>29307</v>
      </c>
      <c r="E43" s="189">
        <v>46258</v>
      </c>
      <c r="F43" s="189">
        <v>14145</v>
      </c>
      <c r="G43" s="189">
        <v>21204</v>
      </c>
      <c r="H43" s="189">
        <v>35349</v>
      </c>
      <c r="I43" s="191">
        <v>0</v>
      </c>
      <c r="J43" s="191">
        <v>0</v>
      </c>
      <c r="K43" s="191">
        <v>0</v>
      </c>
      <c r="L43" s="188">
        <v>14145</v>
      </c>
      <c r="M43" s="188">
        <v>21204</v>
      </c>
      <c r="N43" s="189">
        <v>35349</v>
      </c>
      <c r="O43" s="321">
        <v>83.446404341926723</v>
      </c>
      <c r="P43" s="321">
        <v>72.351315385402799</v>
      </c>
      <c r="Q43" s="321">
        <v>76.417052185567897</v>
      </c>
      <c r="R43" s="211">
        <f t="shared" si="8"/>
        <v>14145</v>
      </c>
      <c r="S43" s="211">
        <f t="shared" si="8"/>
        <v>21204</v>
      </c>
      <c r="T43" s="211">
        <f t="shared" si="8"/>
        <v>35349</v>
      </c>
      <c r="U43" s="322">
        <f>243+63</f>
        <v>306</v>
      </c>
      <c r="V43" s="322">
        <f>192+1</f>
        <v>193</v>
      </c>
      <c r="W43" s="211">
        <f t="shared" si="4"/>
        <v>499</v>
      </c>
      <c r="X43" s="211">
        <f>998+519</f>
        <v>1517</v>
      </c>
      <c r="Y43" s="211">
        <f>1025+99</f>
        <v>1124</v>
      </c>
      <c r="Z43" s="211">
        <f t="shared" si="5"/>
        <v>2641</v>
      </c>
      <c r="AA43" s="323">
        <f t="shared" si="6"/>
        <v>2.1633085896076354</v>
      </c>
      <c r="AB43" s="323">
        <f t="shared" si="6"/>
        <v>0.91020562158083385</v>
      </c>
      <c r="AC43" s="323">
        <f t="shared" si="6"/>
        <v>1.4116382358765454</v>
      </c>
      <c r="AD43" s="323">
        <f t="shared" si="7"/>
        <v>10.724637681159422</v>
      </c>
      <c r="AE43" s="323">
        <f t="shared" si="7"/>
        <v>5.300886625165063</v>
      </c>
      <c r="AF43" s="323">
        <f t="shared" si="7"/>
        <v>7.4712155930860842</v>
      </c>
    </row>
    <row r="44" spans="1:32" x14ac:dyDescent="0.25">
      <c r="A44" s="527" t="s">
        <v>256</v>
      </c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27"/>
      <c r="U44" s="527"/>
      <c r="V44" s="527"/>
      <c r="W44" s="527"/>
      <c r="X44" s="527"/>
      <c r="Y44" s="527"/>
      <c r="Z44" s="527"/>
      <c r="AA44" s="527"/>
      <c r="AB44" s="527"/>
      <c r="AC44" s="527"/>
      <c r="AD44" s="527"/>
      <c r="AE44" s="527"/>
      <c r="AF44" s="527"/>
    </row>
    <row r="45" spans="1:32" ht="28.5" x14ac:dyDescent="0.25">
      <c r="A45" s="166">
        <v>1</v>
      </c>
      <c r="B45" s="43" t="s">
        <v>249</v>
      </c>
      <c r="C45" s="169">
        <v>106399</v>
      </c>
      <c r="D45" s="169">
        <v>47725</v>
      </c>
      <c r="E45" s="170">
        <v>154124</v>
      </c>
      <c r="F45" s="169">
        <v>96988</v>
      </c>
      <c r="G45" s="169">
        <v>42660</v>
      </c>
      <c r="H45" s="170">
        <v>139648</v>
      </c>
      <c r="I45" s="169"/>
      <c r="J45" s="169"/>
      <c r="K45" s="170"/>
      <c r="L45" s="169">
        <v>96988</v>
      </c>
      <c r="M45" s="169">
        <v>42660</v>
      </c>
      <c r="N45" s="170">
        <v>139648</v>
      </c>
      <c r="O45" s="169">
        <f>+L45/C45%</f>
        <v>91.154992058196029</v>
      </c>
      <c r="P45" s="169">
        <f t="shared" ref="P45:Q45" si="9">+M45/D45%</f>
        <v>89.387113672079622</v>
      </c>
      <c r="Q45" s="169">
        <f t="shared" si="9"/>
        <v>90.607562741688511</v>
      </c>
      <c r="R45" s="214">
        <v>96988</v>
      </c>
      <c r="S45" s="214">
        <v>42660</v>
      </c>
      <c r="T45" s="214">
        <v>139648</v>
      </c>
      <c r="U45" s="214">
        <v>774</v>
      </c>
      <c r="V45" s="214">
        <v>502</v>
      </c>
      <c r="W45" s="214">
        <v>1276</v>
      </c>
      <c r="X45" s="214">
        <v>15195</v>
      </c>
      <c r="Y45" s="214">
        <v>6609</v>
      </c>
      <c r="Z45" s="214">
        <v>21804</v>
      </c>
      <c r="AA45" s="312">
        <v>0.79803687054068539</v>
      </c>
      <c r="AB45" s="312">
        <v>1.1767463666197844</v>
      </c>
      <c r="AC45" s="312">
        <v>0.91372593950504122</v>
      </c>
      <c r="AD45" s="312">
        <v>15.666886625149504</v>
      </c>
      <c r="AE45" s="312">
        <v>15.492264416315049</v>
      </c>
      <c r="AF45" s="312">
        <v>15.613542621448213</v>
      </c>
    </row>
    <row r="46" spans="1:32" x14ac:dyDescent="0.25">
      <c r="A46" s="166">
        <v>2</v>
      </c>
      <c r="B46" s="328" t="s">
        <v>250</v>
      </c>
      <c r="C46" s="206">
        <v>77812</v>
      </c>
      <c r="D46" s="206">
        <v>34996</v>
      </c>
      <c r="E46" s="170">
        <v>112808</v>
      </c>
      <c r="F46" s="206">
        <v>56130</v>
      </c>
      <c r="G46" s="206">
        <v>26954</v>
      </c>
      <c r="H46" s="170">
        <v>83084</v>
      </c>
      <c r="I46" s="329"/>
      <c r="J46" s="329"/>
      <c r="K46" s="170"/>
      <c r="L46" s="206">
        <v>56130</v>
      </c>
      <c r="M46" s="206">
        <v>26954</v>
      </c>
      <c r="N46" s="170">
        <v>83084</v>
      </c>
      <c r="O46" s="169">
        <f t="shared" ref="O46:Q51" si="10">+L46/C46%</f>
        <v>72.135403279699787</v>
      </c>
      <c r="P46" s="169">
        <f t="shared" ref="P46:P50" si="11">+M46/D46%</f>
        <v>77.02023088352955</v>
      </c>
      <c r="Q46" s="169">
        <f t="shared" ref="Q46:Q50" si="12">+N46/E46%</f>
        <v>73.650804907453377</v>
      </c>
      <c r="R46" s="214">
        <v>56130</v>
      </c>
      <c r="S46" s="214">
        <v>26954</v>
      </c>
      <c r="T46" s="214">
        <v>83084</v>
      </c>
      <c r="U46" s="214">
        <v>357</v>
      </c>
      <c r="V46" s="214">
        <v>285</v>
      </c>
      <c r="W46" s="214">
        <v>642</v>
      </c>
      <c r="X46" s="214">
        <v>9764</v>
      </c>
      <c r="Y46" s="214">
        <v>6147</v>
      </c>
      <c r="Z46" s="214">
        <v>15911</v>
      </c>
      <c r="AA46" s="312">
        <v>0.63602351683591662</v>
      </c>
      <c r="AB46" s="312">
        <v>1.0573569785560584</v>
      </c>
      <c r="AC46" s="312">
        <v>0.77271195416686722</v>
      </c>
      <c r="AD46" s="312">
        <v>17.395332264386248</v>
      </c>
      <c r="AE46" s="312">
        <v>22.805520516435408</v>
      </c>
      <c r="AF46" s="312">
        <v>19.150498290886333</v>
      </c>
    </row>
    <row r="47" spans="1:32" x14ac:dyDescent="0.25">
      <c r="A47" s="166">
        <v>3</v>
      </c>
      <c r="B47" s="45" t="s">
        <v>251</v>
      </c>
      <c r="C47" s="169">
        <v>36253</v>
      </c>
      <c r="D47" s="169">
        <v>29053</v>
      </c>
      <c r="E47" s="170">
        <v>65306</v>
      </c>
      <c r="F47" s="169">
        <v>24996</v>
      </c>
      <c r="G47" s="169">
        <v>21553</v>
      </c>
      <c r="H47" s="170">
        <v>46549</v>
      </c>
      <c r="I47" s="169"/>
      <c r="J47" s="169"/>
      <c r="K47" s="170"/>
      <c r="L47" s="169">
        <v>24996</v>
      </c>
      <c r="M47" s="169">
        <v>21553</v>
      </c>
      <c r="N47" s="170">
        <v>46549</v>
      </c>
      <c r="O47" s="169">
        <f t="shared" si="10"/>
        <v>68.948776652966657</v>
      </c>
      <c r="P47" s="169">
        <f t="shared" si="11"/>
        <v>74.18510997143153</v>
      </c>
      <c r="Q47" s="169">
        <f t="shared" si="12"/>
        <v>71.278289896793567</v>
      </c>
      <c r="R47" s="214">
        <v>24996</v>
      </c>
      <c r="S47" s="214">
        <v>21553</v>
      </c>
      <c r="T47" s="214">
        <v>46549</v>
      </c>
      <c r="U47" s="214">
        <v>6</v>
      </c>
      <c r="V47" s="214">
        <v>9</v>
      </c>
      <c r="W47" s="214">
        <v>15</v>
      </c>
      <c r="X47" s="214">
        <v>657</v>
      </c>
      <c r="Y47" s="214">
        <v>608</v>
      </c>
      <c r="Z47" s="214">
        <v>1265</v>
      </c>
      <c r="AA47" s="312">
        <v>2.4003840614498319E-2</v>
      </c>
      <c r="AB47" s="312">
        <v>4.1757527954345106E-2</v>
      </c>
      <c r="AC47" s="312">
        <v>3.2224107929278822E-2</v>
      </c>
      <c r="AD47" s="312">
        <v>2.6284205472875661</v>
      </c>
      <c r="AE47" s="312">
        <v>2.8209529995824245</v>
      </c>
      <c r="AF47" s="312">
        <v>2.7175664353691809</v>
      </c>
    </row>
    <row r="48" spans="1:32" ht="28.5" x14ac:dyDescent="0.25">
      <c r="A48" s="166">
        <v>4</v>
      </c>
      <c r="B48" s="45" t="s">
        <v>252</v>
      </c>
      <c r="C48" s="169">
        <v>86665</v>
      </c>
      <c r="D48" s="169">
        <v>48777</v>
      </c>
      <c r="E48" s="170">
        <v>135442</v>
      </c>
      <c r="F48" s="169">
        <v>22664</v>
      </c>
      <c r="G48" s="169">
        <v>16435</v>
      </c>
      <c r="H48" s="170">
        <v>39099</v>
      </c>
      <c r="I48" s="169"/>
      <c r="J48" s="169"/>
      <c r="K48" s="170"/>
      <c r="L48" s="169">
        <v>22664</v>
      </c>
      <c r="M48" s="169">
        <v>16435</v>
      </c>
      <c r="N48" s="170">
        <v>39099</v>
      </c>
      <c r="O48" s="169">
        <f t="shared" si="10"/>
        <v>26.151272139848842</v>
      </c>
      <c r="P48" s="169">
        <f t="shared" si="11"/>
        <v>33.694159132377969</v>
      </c>
      <c r="Q48" s="169">
        <f t="shared" si="12"/>
        <v>28.86770721046647</v>
      </c>
      <c r="R48" s="214">
        <v>22664</v>
      </c>
      <c r="S48" s="214">
        <v>16435</v>
      </c>
      <c r="T48" s="214">
        <v>39099</v>
      </c>
      <c r="U48" s="214">
        <v>44</v>
      </c>
      <c r="V48" s="214">
        <v>12</v>
      </c>
      <c r="W48" s="214">
        <v>56</v>
      </c>
      <c r="X48" s="214">
        <v>547</v>
      </c>
      <c r="Y48" s="214">
        <v>385</v>
      </c>
      <c r="Z48" s="214">
        <v>932</v>
      </c>
      <c r="AA48" s="312">
        <v>0.19414048711613133</v>
      </c>
      <c r="AB48" s="312">
        <v>7.3014907210222094E-2</v>
      </c>
      <c r="AC48" s="312">
        <v>0.14322616946724981</v>
      </c>
      <c r="AD48" s="312">
        <v>2.41351923755736</v>
      </c>
      <c r="AE48" s="312">
        <v>2.3425616063279588</v>
      </c>
      <c r="AF48" s="312">
        <v>2.3836926775620859</v>
      </c>
    </row>
    <row r="49" spans="1:32" ht="28.5" x14ac:dyDescent="0.25">
      <c r="A49" s="166">
        <v>5</v>
      </c>
      <c r="B49" s="43" t="s">
        <v>253</v>
      </c>
      <c r="C49" s="169">
        <v>18786</v>
      </c>
      <c r="D49" s="169">
        <v>16960</v>
      </c>
      <c r="E49" s="170">
        <v>35746</v>
      </c>
      <c r="F49" s="169">
        <v>9071</v>
      </c>
      <c r="G49" s="169">
        <v>10801</v>
      </c>
      <c r="H49" s="170">
        <v>19872</v>
      </c>
      <c r="I49" s="179"/>
      <c r="J49" s="179"/>
      <c r="K49" s="176"/>
      <c r="L49" s="169">
        <v>9071</v>
      </c>
      <c r="M49" s="169">
        <v>10801</v>
      </c>
      <c r="N49" s="170">
        <v>19872</v>
      </c>
      <c r="O49" s="169">
        <f t="shared" si="10"/>
        <v>48.28595762802086</v>
      </c>
      <c r="P49" s="169">
        <f t="shared" si="11"/>
        <v>63.685141509433961</v>
      </c>
      <c r="Q49" s="169">
        <f t="shared" si="12"/>
        <v>55.592234096122645</v>
      </c>
      <c r="R49" s="214">
        <v>9071</v>
      </c>
      <c r="S49" s="214">
        <v>10801</v>
      </c>
      <c r="T49" s="214">
        <v>19872</v>
      </c>
      <c r="U49" s="176"/>
      <c r="V49" s="176"/>
      <c r="W49" s="176">
        <v>0</v>
      </c>
      <c r="X49" s="176"/>
      <c r="Y49" s="176"/>
      <c r="Z49" s="176">
        <v>0</v>
      </c>
      <c r="AA49" s="215">
        <v>0</v>
      </c>
      <c r="AB49" s="215">
        <v>0</v>
      </c>
      <c r="AC49" s="215">
        <v>0</v>
      </c>
      <c r="AD49" s="215">
        <v>0</v>
      </c>
      <c r="AE49" s="215">
        <v>0</v>
      </c>
      <c r="AF49" s="215">
        <v>0</v>
      </c>
    </row>
    <row r="50" spans="1:32" ht="28.5" x14ac:dyDescent="0.25">
      <c r="A50" s="267">
        <v>6</v>
      </c>
      <c r="B50" s="44" t="s">
        <v>296</v>
      </c>
      <c r="C50" s="188">
        <v>21313</v>
      </c>
      <c r="D50" s="188">
        <v>23380</v>
      </c>
      <c r="E50" s="170">
        <v>44693</v>
      </c>
      <c r="F50" s="188">
        <v>7905</v>
      </c>
      <c r="G50" s="188">
        <v>9636</v>
      </c>
      <c r="H50" s="170">
        <v>17541</v>
      </c>
      <c r="I50" s="188"/>
      <c r="J50" s="188"/>
      <c r="K50" s="170"/>
      <c r="L50" s="188">
        <v>7905</v>
      </c>
      <c r="M50" s="188">
        <v>9636</v>
      </c>
      <c r="N50" s="170">
        <v>17541</v>
      </c>
      <c r="O50" s="169">
        <f t="shared" si="10"/>
        <v>37.090038943367901</v>
      </c>
      <c r="P50" s="169">
        <f t="shared" si="11"/>
        <v>41.214713430282288</v>
      </c>
      <c r="Q50" s="169">
        <f t="shared" si="12"/>
        <v>39.247756919428099</v>
      </c>
      <c r="R50" s="211">
        <v>7905</v>
      </c>
      <c r="S50" s="211">
        <v>9636</v>
      </c>
      <c r="T50" s="211">
        <v>17541</v>
      </c>
      <c r="U50" s="191"/>
      <c r="V50" s="191"/>
      <c r="W50" s="191">
        <v>0</v>
      </c>
      <c r="X50" s="211">
        <v>616</v>
      </c>
      <c r="Y50" s="211">
        <v>827</v>
      </c>
      <c r="Z50" s="211">
        <v>1443</v>
      </c>
      <c r="AA50" s="192">
        <v>0</v>
      </c>
      <c r="AB50" s="192">
        <v>0</v>
      </c>
      <c r="AC50" s="192">
        <v>0</v>
      </c>
      <c r="AD50" s="323">
        <v>7.7925363693864647</v>
      </c>
      <c r="AE50" s="323">
        <v>8.5823993358239932</v>
      </c>
      <c r="AF50" s="323">
        <v>8.2264409098683089</v>
      </c>
    </row>
    <row r="51" spans="1:32" x14ac:dyDescent="0.25">
      <c r="A51" s="526" t="s">
        <v>3</v>
      </c>
      <c r="B51" s="526"/>
      <c r="C51" s="217">
        <f>SUM(C8:C50)</f>
        <v>10287144</v>
      </c>
      <c r="D51" s="217">
        <f t="shared" ref="D51:N51" si="13">SUM(D8:D50)</f>
        <v>8287633</v>
      </c>
      <c r="E51" s="217">
        <f t="shared" si="13"/>
        <v>18574777</v>
      </c>
      <c r="F51" s="217">
        <f t="shared" si="13"/>
        <v>7319342</v>
      </c>
      <c r="G51" s="217">
        <f t="shared" si="13"/>
        <v>6221009</v>
      </c>
      <c r="H51" s="217">
        <f t="shared" si="13"/>
        <v>13540351</v>
      </c>
      <c r="I51" s="217">
        <f t="shared" si="13"/>
        <v>329188</v>
      </c>
      <c r="J51" s="217">
        <f t="shared" si="13"/>
        <v>241581</v>
      </c>
      <c r="K51" s="217">
        <f t="shared" si="13"/>
        <v>570769</v>
      </c>
      <c r="L51" s="217">
        <f t="shared" si="13"/>
        <v>7648530</v>
      </c>
      <c r="M51" s="217">
        <f t="shared" si="13"/>
        <v>6462590</v>
      </c>
      <c r="N51" s="217">
        <f t="shared" si="13"/>
        <v>14111120</v>
      </c>
      <c r="O51" s="218">
        <f t="shared" si="10"/>
        <v>74.350373631398568</v>
      </c>
      <c r="P51" s="218">
        <f t="shared" si="10"/>
        <v>77.978718410914183</v>
      </c>
      <c r="Q51" s="218">
        <f t="shared" si="10"/>
        <v>75.96925658919082</v>
      </c>
      <c r="R51" s="217">
        <f t="shared" ref="R51:Z51" si="14">SUM(R8:R50)</f>
        <v>7648530</v>
      </c>
      <c r="S51" s="217">
        <f t="shared" si="14"/>
        <v>6462590</v>
      </c>
      <c r="T51" s="217">
        <f t="shared" si="14"/>
        <v>14111120</v>
      </c>
      <c r="U51" s="217">
        <f t="shared" si="14"/>
        <v>557964</v>
      </c>
      <c r="V51" s="217">
        <f t="shared" si="14"/>
        <v>565418</v>
      </c>
      <c r="W51" s="217">
        <f t="shared" si="14"/>
        <v>1123382</v>
      </c>
      <c r="X51" s="217">
        <f t="shared" si="14"/>
        <v>1191238</v>
      </c>
      <c r="Y51" s="217">
        <f t="shared" si="14"/>
        <v>1025991</v>
      </c>
      <c r="Z51" s="217">
        <f t="shared" si="14"/>
        <v>2217229</v>
      </c>
      <c r="AA51" s="219">
        <f>+U51/R51%</f>
        <v>7.2950488525246024</v>
      </c>
      <c r="AB51" s="219">
        <f t="shared" ref="AB51:AC51" si="15">+V51/S51%</f>
        <v>8.7490928559602263</v>
      </c>
      <c r="AC51" s="219">
        <f t="shared" si="15"/>
        <v>7.9609697883654871</v>
      </c>
      <c r="AD51" s="219">
        <f>+X51/R51%</f>
        <v>15.574731353606509</v>
      </c>
      <c r="AE51" s="219">
        <f t="shared" ref="AE51:AF51" si="16">+Y51/S51%</f>
        <v>15.87584853750586</v>
      </c>
      <c r="AF51" s="219">
        <f t="shared" si="16"/>
        <v>15.712636558969095</v>
      </c>
    </row>
    <row r="52" spans="1:32" x14ac:dyDescent="0.25">
      <c r="A52" s="324"/>
      <c r="B52" s="325"/>
      <c r="C52" s="509" t="s">
        <v>278</v>
      </c>
      <c r="D52" s="509"/>
      <c r="E52" s="509"/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 t="s">
        <v>278</v>
      </c>
      <c r="S52" s="509"/>
      <c r="T52" s="509"/>
      <c r="U52" s="509"/>
      <c r="V52" s="509"/>
      <c r="W52" s="509"/>
      <c r="X52" s="509"/>
      <c r="Y52" s="509"/>
      <c r="Z52" s="509"/>
      <c r="AA52" s="509"/>
      <c r="AB52" s="509"/>
      <c r="AC52" s="509"/>
      <c r="AD52" s="509"/>
      <c r="AE52" s="509"/>
      <c r="AF52" s="509"/>
    </row>
    <row r="53" spans="1:32" x14ac:dyDescent="0.25">
      <c r="A53" s="326"/>
      <c r="B53" s="327"/>
      <c r="C53" s="509" t="s">
        <v>248</v>
      </c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 t="s">
        <v>248</v>
      </c>
      <c r="S53" s="509"/>
      <c r="T53" s="509"/>
      <c r="U53" s="509"/>
      <c r="V53" s="509"/>
      <c r="W53" s="509"/>
      <c r="X53" s="509"/>
      <c r="Y53" s="509"/>
      <c r="Z53" s="509"/>
      <c r="AA53" s="509"/>
      <c r="AB53" s="509"/>
      <c r="AC53" s="509"/>
      <c r="AD53" s="509"/>
      <c r="AE53" s="509"/>
      <c r="AF53" s="509"/>
    </row>
    <row r="54" spans="1:32" x14ac:dyDescent="0.25">
      <c r="A54" s="204"/>
      <c r="B54" s="144"/>
      <c r="C54" s="509" t="s">
        <v>228</v>
      </c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 t="s">
        <v>228</v>
      </c>
      <c r="S54" s="509"/>
      <c r="T54" s="509"/>
      <c r="U54" s="509"/>
      <c r="V54" s="509"/>
      <c r="W54" s="509"/>
      <c r="X54" s="509"/>
      <c r="Y54" s="509"/>
      <c r="Z54" s="509"/>
      <c r="AA54" s="509"/>
      <c r="AB54" s="509"/>
      <c r="AC54" s="509"/>
      <c r="AD54" s="509"/>
      <c r="AE54" s="509"/>
      <c r="AF54" s="509"/>
    </row>
    <row r="55" spans="1:32" x14ac:dyDescent="0.25">
      <c r="A55" s="204"/>
      <c r="B55" s="144"/>
      <c r="C55" s="561" t="s">
        <v>303</v>
      </c>
      <c r="D55" s="561"/>
      <c r="E55" s="561"/>
      <c r="F55" s="561"/>
      <c r="G55" s="561"/>
      <c r="H55" s="561"/>
      <c r="I55" s="561"/>
      <c r="J55" s="561"/>
      <c r="K55" s="561"/>
      <c r="L55" s="561"/>
      <c r="M55" s="561"/>
      <c r="N55" s="561"/>
      <c r="O55" s="561"/>
      <c r="P55" s="561"/>
      <c r="Q55" s="561"/>
      <c r="R55" s="561" t="s">
        <v>303</v>
      </c>
      <c r="S55" s="561"/>
      <c r="T55" s="561"/>
      <c r="U55" s="561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561"/>
    </row>
    <row r="56" spans="1:32" x14ac:dyDescent="0.25">
      <c r="A56" s="204"/>
      <c r="B56" s="144"/>
      <c r="C56" s="345" t="s">
        <v>313</v>
      </c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345" t="s">
        <v>313</v>
      </c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</row>
    <row r="57" spans="1:32" x14ac:dyDescent="0.25">
      <c r="A57" s="204"/>
      <c r="B57" s="144"/>
      <c r="C57" s="368" t="s">
        <v>332</v>
      </c>
      <c r="D57" s="368"/>
      <c r="E57" s="368"/>
      <c r="F57" s="369" t="s">
        <v>333</v>
      </c>
      <c r="G57" s="368"/>
      <c r="H57" s="368"/>
      <c r="I57" s="368"/>
      <c r="J57" s="144"/>
      <c r="R57" s="368" t="s">
        <v>332</v>
      </c>
      <c r="S57" s="368"/>
      <c r="T57" s="368"/>
      <c r="U57" s="369" t="s">
        <v>333</v>
      </c>
      <c r="V57" s="368"/>
      <c r="W57" s="368"/>
      <c r="X57" s="368"/>
    </row>
    <row r="58" spans="1:32" x14ac:dyDescent="0.25">
      <c r="A58" s="204"/>
      <c r="B58" s="144"/>
      <c r="C58" s="144"/>
      <c r="D58" s="144"/>
      <c r="E58" s="144"/>
      <c r="F58" s="144"/>
      <c r="G58" s="144"/>
      <c r="H58" s="144"/>
      <c r="I58" s="144"/>
      <c r="J58" s="144"/>
      <c r="K58" s="144"/>
    </row>
    <row r="59" spans="1:32" x14ac:dyDescent="0.25">
      <c r="A59" s="204"/>
      <c r="B59" s="144"/>
      <c r="C59" s="144"/>
      <c r="D59" s="144"/>
      <c r="E59" s="144"/>
      <c r="F59" s="144"/>
      <c r="G59" s="144"/>
      <c r="H59" s="144"/>
      <c r="I59" s="144"/>
      <c r="J59" s="144"/>
      <c r="K59" s="144"/>
    </row>
    <row r="60" spans="1:32" x14ac:dyDescent="0.25">
      <c r="A60" s="204"/>
      <c r="B60" s="144"/>
      <c r="C60" s="144"/>
      <c r="D60" s="144"/>
      <c r="E60" s="144"/>
      <c r="F60" s="144"/>
      <c r="G60" s="144"/>
      <c r="H60" s="144"/>
      <c r="I60" s="144"/>
      <c r="J60" s="144"/>
      <c r="K60" s="144"/>
    </row>
    <row r="61" spans="1:32" x14ac:dyDescent="0.25">
      <c r="A61" s="204"/>
      <c r="B61" s="144"/>
      <c r="C61" s="144"/>
      <c r="D61" s="144"/>
      <c r="E61" s="144"/>
      <c r="F61" s="144"/>
      <c r="G61" s="144"/>
      <c r="H61" s="144"/>
      <c r="I61" s="144"/>
      <c r="J61" s="144"/>
      <c r="K61" s="144"/>
    </row>
    <row r="62" spans="1:32" x14ac:dyDescent="0.25">
      <c r="A62" s="204"/>
      <c r="B62" s="144"/>
      <c r="C62" s="144"/>
      <c r="D62" s="144"/>
      <c r="E62" s="144"/>
      <c r="F62" s="144"/>
      <c r="G62" s="144"/>
      <c r="H62" s="144"/>
      <c r="I62" s="144"/>
      <c r="J62" s="144"/>
      <c r="K62" s="144"/>
    </row>
    <row r="63" spans="1:32" x14ac:dyDescent="0.25">
      <c r="A63" s="204"/>
      <c r="B63" s="144"/>
      <c r="C63" s="144"/>
      <c r="D63" s="144"/>
      <c r="E63" s="144"/>
      <c r="F63" s="144"/>
      <c r="G63" s="144"/>
      <c r="H63" s="144"/>
      <c r="I63" s="144"/>
      <c r="J63" s="144"/>
      <c r="K63" s="144"/>
    </row>
    <row r="64" spans="1:32" x14ac:dyDescent="0.25">
      <c r="A64" s="204"/>
      <c r="B64" s="144"/>
      <c r="C64" s="144"/>
      <c r="D64" s="144"/>
      <c r="E64" s="144"/>
      <c r="F64" s="144"/>
      <c r="G64" s="144"/>
      <c r="H64" s="144"/>
      <c r="I64" s="144"/>
      <c r="J64" s="144"/>
      <c r="K64" s="144"/>
    </row>
    <row r="65" spans="1:32" x14ac:dyDescent="0.25">
      <c r="A65" s="204"/>
      <c r="B65" s="144"/>
      <c r="C65" s="144"/>
      <c r="D65" s="144"/>
      <c r="E65" s="144"/>
      <c r="F65" s="144"/>
      <c r="G65" s="144"/>
      <c r="H65" s="144"/>
      <c r="I65" s="144"/>
      <c r="J65" s="144"/>
      <c r="K65" s="144"/>
    </row>
    <row r="66" spans="1:32" x14ac:dyDescent="0.25">
      <c r="A66" s="20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</row>
    <row r="67" spans="1:32" x14ac:dyDescent="0.25">
      <c r="A67" s="204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</row>
    <row r="68" spans="1:32" x14ac:dyDescent="0.25">
      <c r="A68" s="20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</row>
    <row r="69" spans="1:32" x14ac:dyDescent="0.25">
      <c r="A69" s="204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</row>
    <row r="70" spans="1:32" x14ac:dyDescent="0.25">
      <c r="A70" s="20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</row>
    <row r="71" spans="1:32" x14ac:dyDescent="0.25">
      <c r="A71" s="204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</row>
    <row r="72" spans="1:32" x14ac:dyDescent="0.25">
      <c r="A72" s="204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</row>
    <row r="73" spans="1:32" x14ac:dyDescent="0.25">
      <c r="A73" s="204"/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</row>
    <row r="74" spans="1:32" x14ac:dyDescent="0.25">
      <c r="A74" s="204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</row>
    <row r="75" spans="1:32" x14ac:dyDescent="0.25">
      <c r="A75" s="204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</row>
    <row r="76" spans="1:32" x14ac:dyDescent="0.25">
      <c r="A76" s="204"/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</row>
    <row r="77" spans="1:32" x14ac:dyDescent="0.25">
      <c r="A77" s="20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</row>
    <row r="78" spans="1:32" x14ac:dyDescent="0.25">
      <c r="A78" s="20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</row>
    <row r="79" spans="1:32" x14ac:dyDescent="0.25">
      <c r="A79" s="20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</row>
    <row r="80" spans="1:32" x14ac:dyDescent="0.25">
      <c r="A80" s="20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</row>
    <row r="81" spans="1:32" x14ac:dyDescent="0.25">
      <c r="A81" s="20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</row>
    <row r="82" spans="1:32" x14ac:dyDescent="0.25">
      <c r="A82" s="20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</row>
    <row r="83" spans="1:32" x14ac:dyDescent="0.25">
      <c r="A83" s="20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</row>
    <row r="84" spans="1:32" x14ac:dyDescent="0.25">
      <c r="A84" s="20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</row>
    <row r="85" spans="1:32" x14ac:dyDescent="0.25">
      <c r="A85" s="20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</row>
    <row r="86" spans="1:32" x14ac:dyDescent="0.25">
      <c r="A86" s="20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</row>
    <row r="87" spans="1:32" x14ac:dyDescent="0.25">
      <c r="A87" s="204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</row>
    <row r="88" spans="1:32" x14ac:dyDescent="0.25">
      <c r="A88" s="20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</row>
    <row r="89" spans="1:32" x14ac:dyDescent="0.25">
      <c r="A89" s="20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</row>
    <row r="90" spans="1:32" x14ac:dyDescent="0.25">
      <c r="A90" s="20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</row>
    <row r="91" spans="1:32" x14ac:dyDescent="0.25">
      <c r="A91" s="20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</row>
    <row r="92" spans="1:32" x14ac:dyDescent="0.25">
      <c r="A92" s="20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</row>
    <row r="93" spans="1:32" x14ac:dyDescent="0.25">
      <c r="A93" s="204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</row>
  </sheetData>
  <mergeCells count="47">
    <mergeCell ref="C1:Q1"/>
    <mergeCell ref="O3:Q5"/>
    <mergeCell ref="A3:A6"/>
    <mergeCell ref="B3:B6"/>
    <mergeCell ref="C3:N3"/>
    <mergeCell ref="C2:Q2"/>
    <mergeCell ref="C11:Q11"/>
    <mergeCell ref="R8:AF8"/>
    <mergeCell ref="A8:B8"/>
    <mergeCell ref="C8:Q8"/>
    <mergeCell ref="U5:W5"/>
    <mergeCell ref="X5:Z5"/>
    <mergeCell ref="AA5:AC5"/>
    <mergeCell ref="F5:H5"/>
    <mergeCell ref="I5:K5"/>
    <mergeCell ref="L5:N5"/>
    <mergeCell ref="C4:E5"/>
    <mergeCell ref="F4:N4"/>
    <mergeCell ref="R3:T5"/>
    <mergeCell ref="U3:Z4"/>
    <mergeCell ref="AA3:AF4"/>
    <mergeCell ref="AD5:AF5"/>
    <mergeCell ref="R52:AF52"/>
    <mergeCell ref="C52:Q52"/>
    <mergeCell ref="Y44:Z44"/>
    <mergeCell ref="AA44:AB44"/>
    <mergeCell ref="AC44:AD44"/>
    <mergeCell ref="AE44:AF44"/>
    <mergeCell ref="M44:N44"/>
    <mergeCell ref="O44:P44"/>
    <mergeCell ref="Q44:R44"/>
    <mergeCell ref="S44:T44"/>
    <mergeCell ref="U44:V44"/>
    <mergeCell ref="W44:X44"/>
    <mergeCell ref="K44:L44"/>
    <mergeCell ref="R55:AF55"/>
    <mergeCell ref="R54:AF54"/>
    <mergeCell ref="C55:Q55"/>
    <mergeCell ref="C54:Q54"/>
    <mergeCell ref="C53:Q53"/>
    <mergeCell ref="R53:AF53"/>
    <mergeCell ref="A51:B51"/>
    <mergeCell ref="C44:D44"/>
    <mergeCell ref="E44:F44"/>
    <mergeCell ref="G44:H44"/>
    <mergeCell ref="I44:J44"/>
    <mergeCell ref="A44:B44"/>
  </mergeCells>
  <hyperlinks>
    <hyperlink ref="F57" r:id="rId1" xr:uid="{00000000-0004-0000-0C00-000000000000}"/>
    <hyperlink ref="U57" r:id="rId2" xr:uid="{00000000-0004-0000-0C00-000001000000}"/>
  </hyperlinks>
  <pageMargins left="0.70866141732283472" right="0.70866141732283472" top="0.74803149606299213" bottom="0.74803149606299213" header="0.31496062992125984" footer="0.31496062992125984"/>
  <pageSetup paperSize="9" scale="65" firstPageNumber="81" orientation="landscape" useFirstPageNumber="1" r:id="rId3"/>
  <headerFooter>
    <oddFooter>Page &amp;P</oddFooter>
  </headerFooter>
  <rowBreaks count="1" manualBreakCount="1">
    <brk id="34" max="16383" man="1"/>
  </rowBreaks>
  <colBreaks count="1" manualBreakCount="1">
    <brk id="1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56"/>
  <sheetViews>
    <sheetView view="pageBreakPreview" topLeftCell="A40" zoomScale="85" zoomScaleSheetLayoutView="85" workbookViewId="0">
      <selection activeCell="C51" sqref="C51"/>
    </sheetView>
  </sheetViews>
  <sheetFormatPr defaultRowHeight="15" x14ac:dyDescent="0.25"/>
  <cols>
    <col min="1" max="1" width="9.28515625" bestFit="1" customWidth="1"/>
    <col min="2" max="2" width="35.140625" customWidth="1"/>
    <col min="3" max="3" width="11.7109375" customWidth="1"/>
    <col min="4" max="4" width="10.42578125" bestFit="1" customWidth="1"/>
    <col min="5" max="5" width="11.7109375" bestFit="1" customWidth="1"/>
    <col min="6" max="7" width="10.42578125" bestFit="1" customWidth="1"/>
    <col min="8" max="8" width="11.7109375" bestFit="1" customWidth="1"/>
    <col min="9" max="13" width="9.28515625" bestFit="1" customWidth="1"/>
    <col min="14" max="14" width="9.85546875" bestFit="1" customWidth="1"/>
    <col min="15" max="17" width="9.28515625" bestFit="1" customWidth="1"/>
  </cols>
  <sheetData>
    <row r="1" spans="1:32" ht="18" customHeight="1" x14ac:dyDescent="0.25">
      <c r="A1" s="144"/>
      <c r="B1" s="163"/>
      <c r="C1" s="511" t="s">
        <v>304</v>
      </c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157" t="s">
        <v>304</v>
      </c>
      <c r="S1" s="157"/>
      <c r="T1" s="157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</row>
    <row r="2" spans="1:32" ht="15.75" customHeight="1" x14ac:dyDescent="0.25">
      <c r="A2" s="164"/>
      <c r="B2" s="165"/>
      <c r="C2" s="512" t="s">
        <v>342</v>
      </c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146" t="s">
        <v>343</v>
      </c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</row>
    <row r="3" spans="1:32" ht="15" customHeight="1" x14ac:dyDescent="0.25">
      <c r="A3" s="484" t="s">
        <v>192</v>
      </c>
      <c r="B3" s="482" t="s">
        <v>260</v>
      </c>
      <c r="C3" s="482" t="s">
        <v>188</v>
      </c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508" t="s">
        <v>189</v>
      </c>
      <c r="P3" s="508"/>
      <c r="Q3" s="508"/>
      <c r="R3" s="533" t="s">
        <v>193</v>
      </c>
      <c r="S3" s="534"/>
      <c r="T3" s="535"/>
      <c r="U3" s="533" t="s">
        <v>194</v>
      </c>
      <c r="V3" s="534"/>
      <c r="W3" s="534"/>
      <c r="X3" s="534"/>
      <c r="Y3" s="534"/>
      <c r="Z3" s="535"/>
      <c r="AA3" s="533" t="s">
        <v>195</v>
      </c>
      <c r="AB3" s="534"/>
      <c r="AC3" s="534"/>
      <c r="AD3" s="534"/>
      <c r="AE3" s="534"/>
      <c r="AF3" s="535"/>
    </row>
    <row r="4" spans="1:32" x14ac:dyDescent="0.25">
      <c r="A4" s="484"/>
      <c r="B4" s="482"/>
      <c r="C4" s="482" t="s">
        <v>5</v>
      </c>
      <c r="D4" s="482"/>
      <c r="E4" s="482"/>
      <c r="F4" s="482" t="s">
        <v>6</v>
      </c>
      <c r="G4" s="482"/>
      <c r="H4" s="482"/>
      <c r="I4" s="482"/>
      <c r="J4" s="482"/>
      <c r="K4" s="482"/>
      <c r="L4" s="482"/>
      <c r="M4" s="482"/>
      <c r="N4" s="482"/>
      <c r="O4" s="508"/>
      <c r="P4" s="508"/>
      <c r="Q4" s="508"/>
      <c r="R4" s="536"/>
      <c r="S4" s="537"/>
      <c r="T4" s="538"/>
      <c r="U4" s="539"/>
      <c r="V4" s="540"/>
      <c r="W4" s="540"/>
      <c r="X4" s="540"/>
      <c r="Y4" s="540"/>
      <c r="Z4" s="541"/>
      <c r="AA4" s="539"/>
      <c r="AB4" s="540"/>
      <c r="AC4" s="540"/>
      <c r="AD4" s="540"/>
      <c r="AE4" s="540"/>
      <c r="AF4" s="541"/>
    </row>
    <row r="5" spans="1:32" ht="15" customHeight="1" x14ac:dyDescent="0.25">
      <c r="A5" s="484"/>
      <c r="B5" s="482"/>
      <c r="C5" s="482"/>
      <c r="D5" s="482"/>
      <c r="E5" s="482"/>
      <c r="F5" s="482" t="s">
        <v>51</v>
      </c>
      <c r="G5" s="482"/>
      <c r="H5" s="482"/>
      <c r="I5" s="482" t="s">
        <v>190</v>
      </c>
      <c r="J5" s="482"/>
      <c r="K5" s="482"/>
      <c r="L5" s="482" t="s">
        <v>262</v>
      </c>
      <c r="M5" s="482"/>
      <c r="N5" s="482"/>
      <c r="O5" s="508"/>
      <c r="P5" s="508"/>
      <c r="Q5" s="508"/>
      <c r="R5" s="539"/>
      <c r="S5" s="540"/>
      <c r="T5" s="541"/>
      <c r="U5" s="542" t="s">
        <v>229</v>
      </c>
      <c r="V5" s="543"/>
      <c r="W5" s="544"/>
      <c r="X5" s="542" t="s">
        <v>230</v>
      </c>
      <c r="Y5" s="543"/>
      <c r="Z5" s="544"/>
      <c r="AA5" s="542" t="s">
        <v>229</v>
      </c>
      <c r="AB5" s="543"/>
      <c r="AC5" s="544"/>
      <c r="AD5" s="542" t="s">
        <v>230</v>
      </c>
      <c r="AE5" s="543"/>
      <c r="AF5" s="544"/>
    </row>
    <row r="6" spans="1:32" x14ac:dyDescent="0.25">
      <c r="A6" s="484"/>
      <c r="B6" s="482"/>
      <c r="C6" s="158" t="s">
        <v>43</v>
      </c>
      <c r="D6" s="158" t="s">
        <v>44</v>
      </c>
      <c r="E6" s="158" t="s">
        <v>3</v>
      </c>
      <c r="F6" s="158" t="s">
        <v>43</v>
      </c>
      <c r="G6" s="158" t="s">
        <v>44</v>
      </c>
      <c r="H6" s="158" t="s">
        <v>3</v>
      </c>
      <c r="I6" s="158" t="s">
        <v>43</v>
      </c>
      <c r="J6" s="158" t="s">
        <v>44</v>
      </c>
      <c r="K6" s="158" t="s">
        <v>3</v>
      </c>
      <c r="L6" s="158" t="s">
        <v>43</v>
      </c>
      <c r="M6" s="158" t="s">
        <v>44</v>
      </c>
      <c r="N6" s="158" t="s">
        <v>3</v>
      </c>
      <c r="O6" s="159" t="s">
        <v>43</v>
      </c>
      <c r="P6" s="159" t="s">
        <v>44</v>
      </c>
      <c r="Q6" s="159" t="s">
        <v>3</v>
      </c>
      <c r="R6" s="158" t="s">
        <v>43</v>
      </c>
      <c r="S6" s="158" t="s">
        <v>44</v>
      </c>
      <c r="T6" s="158" t="s">
        <v>3</v>
      </c>
      <c r="U6" s="158" t="s">
        <v>43</v>
      </c>
      <c r="V6" s="158" t="s">
        <v>44</v>
      </c>
      <c r="W6" s="158" t="s">
        <v>3</v>
      </c>
      <c r="X6" s="158" t="s">
        <v>43</v>
      </c>
      <c r="Y6" s="158" t="s">
        <v>44</v>
      </c>
      <c r="Z6" s="158" t="s">
        <v>3</v>
      </c>
      <c r="AA6" s="158" t="s">
        <v>43</v>
      </c>
      <c r="AB6" s="158" t="s">
        <v>44</v>
      </c>
      <c r="AC6" s="158" t="s">
        <v>3</v>
      </c>
      <c r="AD6" s="158" t="s">
        <v>43</v>
      </c>
      <c r="AE6" s="158" t="s">
        <v>44</v>
      </c>
      <c r="AF6" s="158" t="s">
        <v>3</v>
      </c>
    </row>
    <row r="7" spans="1:32" x14ac:dyDescent="0.25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115">
        <v>15</v>
      </c>
      <c r="P7" s="115">
        <v>16</v>
      </c>
      <c r="Q7" s="115">
        <v>17</v>
      </c>
      <c r="R7" s="78">
        <v>3</v>
      </c>
      <c r="S7" s="78">
        <v>4</v>
      </c>
      <c r="T7" s="78">
        <v>5</v>
      </c>
      <c r="U7" s="78">
        <v>6</v>
      </c>
      <c r="V7" s="78">
        <v>7</v>
      </c>
      <c r="W7" s="78">
        <v>8</v>
      </c>
      <c r="X7" s="78">
        <v>9</v>
      </c>
      <c r="Y7" s="78">
        <v>10</v>
      </c>
      <c r="Z7" s="78">
        <v>11</v>
      </c>
      <c r="AA7" s="78">
        <v>12</v>
      </c>
      <c r="AB7" s="78">
        <v>13</v>
      </c>
      <c r="AC7" s="78">
        <v>14</v>
      </c>
      <c r="AD7" s="78">
        <v>15</v>
      </c>
      <c r="AE7" s="78">
        <v>16</v>
      </c>
      <c r="AF7" s="78">
        <v>17</v>
      </c>
    </row>
    <row r="8" spans="1:32" x14ac:dyDescent="0.25">
      <c r="A8" s="563" t="s">
        <v>216</v>
      </c>
      <c r="B8" s="563"/>
      <c r="C8" s="570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570"/>
      <c r="R8" s="567"/>
      <c r="S8" s="568"/>
      <c r="T8" s="568"/>
      <c r="U8" s="568"/>
      <c r="V8" s="568"/>
      <c r="W8" s="568"/>
      <c r="X8" s="568"/>
      <c r="Y8" s="568"/>
      <c r="Z8" s="568"/>
      <c r="AA8" s="568"/>
      <c r="AB8" s="568"/>
      <c r="AC8" s="568"/>
      <c r="AD8" s="568"/>
      <c r="AE8" s="568"/>
      <c r="AF8" s="569"/>
    </row>
    <row r="9" spans="1:32" ht="28.5" x14ac:dyDescent="0.25">
      <c r="A9" s="166">
        <v>1</v>
      </c>
      <c r="B9" s="43" t="s">
        <v>143</v>
      </c>
      <c r="C9" s="170">
        <v>625535</v>
      </c>
      <c r="D9" s="170">
        <v>426449</v>
      </c>
      <c r="E9" s="170">
        <v>1051984</v>
      </c>
      <c r="F9" s="170">
        <v>602272</v>
      </c>
      <c r="G9" s="170">
        <v>414010</v>
      </c>
      <c r="H9" s="170">
        <v>1016282</v>
      </c>
      <c r="I9" s="170">
        <v>6604</v>
      </c>
      <c r="J9" s="170">
        <v>3301</v>
      </c>
      <c r="K9" s="170">
        <v>9905</v>
      </c>
      <c r="L9" s="167">
        <v>608876</v>
      </c>
      <c r="M9" s="167">
        <v>417311</v>
      </c>
      <c r="N9" s="167">
        <v>1026187</v>
      </c>
      <c r="O9" s="171">
        <v>97.336839665246544</v>
      </c>
      <c r="P9" s="171">
        <v>97.857188081107012</v>
      </c>
      <c r="Q9" s="171">
        <v>97.547776392036383</v>
      </c>
      <c r="R9" s="168">
        <f>L9</f>
        <v>608876</v>
      </c>
      <c r="S9" s="168">
        <f>M9</f>
        <v>417311</v>
      </c>
      <c r="T9" s="168">
        <f>N9</f>
        <v>1026187</v>
      </c>
      <c r="U9" s="176"/>
      <c r="V9" s="176"/>
      <c r="W9" s="176"/>
      <c r="X9" s="176"/>
      <c r="Y9" s="176"/>
      <c r="Z9" s="176"/>
      <c r="AA9" s="215"/>
      <c r="AB9" s="215"/>
      <c r="AC9" s="215"/>
      <c r="AD9" s="215"/>
      <c r="AE9" s="215"/>
      <c r="AF9" s="215"/>
    </row>
    <row r="10" spans="1:32" ht="28.5" x14ac:dyDescent="0.25">
      <c r="A10" s="166">
        <v>2</v>
      </c>
      <c r="B10" s="43" t="s">
        <v>231</v>
      </c>
      <c r="C10" s="170">
        <v>68392</v>
      </c>
      <c r="D10" s="170">
        <v>53957</v>
      </c>
      <c r="E10" s="170">
        <v>122349</v>
      </c>
      <c r="F10" s="170">
        <v>67159</v>
      </c>
      <c r="G10" s="170">
        <v>53499</v>
      </c>
      <c r="H10" s="170">
        <v>120658</v>
      </c>
      <c r="I10" s="176"/>
      <c r="J10" s="176"/>
      <c r="K10" s="176"/>
      <c r="L10" s="169">
        <v>67159</v>
      </c>
      <c r="M10" s="169">
        <v>53499</v>
      </c>
      <c r="N10" s="169">
        <v>120658</v>
      </c>
      <c r="O10" s="314">
        <v>98.197157562287984</v>
      </c>
      <c r="P10" s="314">
        <v>99.151175936393798</v>
      </c>
      <c r="Q10" s="314">
        <v>98.6178881723594</v>
      </c>
      <c r="R10" s="170">
        <v>67159</v>
      </c>
      <c r="S10" s="170">
        <v>53499</v>
      </c>
      <c r="T10" s="170">
        <v>120658</v>
      </c>
      <c r="U10" s="170">
        <v>39676</v>
      </c>
      <c r="V10" s="170">
        <v>36191</v>
      </c>
      <c r="W10" s="170">
        <v>75867</v>
      </c>
      <c r="X10" s="170">
        <v>20035</v>
      </c>
      <c r="Y10" s="170">
        <v>13569</v>
      </c>
      <c r="Z10" s="170">
        <v>33604</v>
      </c>
      <c r="AA10" s="314">
        <v>59.077711103500647</v>
      </c>
      <c r="AB10" s="314">
        <v>67.647993420437757</v>
      </c>
      <c r="AC10" s="314">
        <v>62.877720499262381</v>
      </c>
      <c r="AD10" s="314">
        <v>29.832189282151312</v>
      </c>
      <c r="AE10" s="314">
        <v>25.363090898895305</v>
      </c>
      <c r="AF10" s="314">
        <v>27.850619105239605</v>
      </c>
    </row>
    <row r="11" spans="1:32" x14ac:dyDescent="0.25">
      <c r="A11" s="563" t="s">
        <v>217</v>
      </c>
      <c r="B11" s="563"/>
      <c r="C11" s="564"/>
      <c r="D11" s="565"/>
      <c r="E11" s="565"/>
      <c r="F11" s="565"/>
      <c r="G11" s="565"/>
      <c r="H11" s="565"/>
      <c r="I11" s="565"/>
      <c r="J11" s="565"/>
      <c r="K11" s="565"/>
      <c r="L11" s="565"/>
      <c r="M11" s="565"/>
      <c r="N11" s="565"/>
      <c r="O11" s="565"/>
      <c r="P11" s="565"/>
      <c r="Q11" s="566"/>
      <c r="R11" s="330"/>
      <c r="S11" s="331"/>
      <c r="T11" s="331"/>
      <c r="U11" s="331"/>
      <c r="V11" s="331"/>
      <c r="W11" s="332"/>
      <c r="X11" s="331"/>
      <c r="Y11" s="331"/>
      <c r="Z11" s="332"/>
      <c r="AA11" s="333"/>
      <c r="AB11" s="333"/>
      <c r="AC11" s="333"/>
      <c r="AD11" s="333"/>
      <c r="AE11" s="333"/>
      <c r="AF11" s="333"/>
    </row>
    <row r="12" spans="1:32" ht="28.5" x14ac:dyDescent="0.25">
      <c r="A12" s="166">
        <v>3</v>
      </c>
      <c r="B12" s="43" t="s">
        <v>263</v>
      </c>
      <c r="C12" s="170">
        <v>700828</v>
      </c>
      <c r="D12" s="170">
        <v>591240</v>
      </c>
      <c r="E12" s="170">
        <v>1292068</v>
      </c>
      <c r="F12" s="170">
        <v>504057</v>
      </c>
      <c r="G12" s="170">
        <v>464086</v>
      </c>
      <c r="H12" s="170">
        <v>968143</v>
      </c>
      <c r="I12" s="176"/>
      <c r="J12" s="176"/>
      <c r="K12" s="176"/>
      <c r="L12" s="169">
        <v>504057</v>
      </c>
      <c r="M12" s="169">
        <v>464086</v>
      </c>
      <c r="N12" s="170">
        <v>968143</v>
      </c>
      <c r="O12" s="314">
        <v>71.923068142254593</v>
      </c>
      <c r="P12" s="314">
        <v>78.493674311616275</v>
      </c>
      <c r="Q12" s="314">
        <v>74.929725060910101</v>
      </c>
      <c r="R12" s="170">
        <v>504057</v>
      </c>
      <c r="S12" s="170">
        <v>464086</v>
      </c>
      <c r="T12" s="170">
        <v>968143</v>
      </c>
      <c r="U12" s="170">
        <v>153689</v>
      </c>
      <c r="V12" s="170">
        <v>152279</v>
      </c>
      <c r="W12" s="170">
        <v>305968</v>
      </c>
      <c r="X12" s="170">
        <v>291393</v>
      </c>
      <c r="Y12" s="170">
        <v>275038</v>
      </c>
      <c r="Z12" s="170">
        <v>566431</v>
      </c>
      <c r="AA12" s="314">
        <v>30.49040088720125</v>
      </c>
      <c r="AB12" s="314">
        <v>32.81266834164358</v>
      </c>
      <c r="AC12" s="314">
        <v>31.603595749801421</v>
      </c>
      <c r="AD12" s="314">
        <v>57.809533445622222</v>
      </c>
      <c r="AE12" s="314">
        <v>59.264446675831636</v>
      </c>
      <c r="AF12" s="314">
        <v>58.506956100493419</v>
      </c>
    </row>
    <row r="13" spans="1:32" x14ac:dyDescent="0.25">
      <c r="A13" s="166">
        <v>4</v>
      </c>
      <c r="B13" s="43" t="s">
        <v>264</v>
      </c>
      <c r="C13" s="170">
        <v>180717</v>
      </c>
      <c r="D13" s="170">
        <v>186521</v>
      </c>
      <c r="E13" s="170">
        <v>367238</v>
      </c>
      <c r="F13" s="170">
        <v>120773</v>
      </c>
      <c r="G13" s="170">
        <v>117237</v>
      </c>
      <c r="H13" s="170">
        <v>238010</v>
      </c>
      <c r="I13" s="176"/>
      <c r="J13" s="176"/>
      <c r="K13" s="176"/>
      <c r="L13" s="169">
        <v>120773</v>
      </c>
      <c r="M13" s="169">
        <v>117237</v>
      </c>
      <c r="N13" s="170">
        <v>238010</v>
      </c>
      <c r="O13" s="314">
        <v>66.829905321580156</v>
      </c>
      <c r="P13" s="314">
        <v>62.854584738447684</v>
      </c>
      <c r="Q13" s="314">
        <v>64.810831123140858</v>
      </c>
      <c r="R13" s="170">
        <v>120773</v>
      </c>
      <c r="S13" s="170">
        <v>117237</v>
      </c>
      <c r="T13" s="170">
        <v>238010</v>
      </c>
      <c r="U13" s="170">
        <v>2596</v>
      </c>
      <c r="V13" s="170">
        <v>1894</v>
      </c>
      <c r="W13" s="170">
        <v>4490</v>
      </c>
      <c r="X13" s="170">
        <v>10731</v>
      </c>
      <c r="Y13" s="170">
        <v>8560</v>
      </c>
      <c r="Z13" s="170">
        <v>19291</v>
      </c>
      <c r="AA13" s="314">
        <v>2.1494870542256961</v>
      </c>
      <c r="AB13" s="314">
        <v>1.6155309330672059</v>
      </c>
      <c r="AC13" s="314">
        <v>1.8864753581782279</v>
      </c>
      <c r="AD13" s="314">
        <v>8.8852640904837994</v>
      </c>
      <c r="AE13" s="314">
        <v>7.301449201190751</v>
      </c>
      <c r="AF13" s="314">
        <v>8.10512163354481</v>
      </c>
    </row>
    <row r="14" spans="1:32" x14ac:dyDescent="0.25">
      <c r="A14" s="166">
        <v>5</v>
      </c>
      <c r="B14" s="43" t="s">
        <v>265</v>
      </c>
      <c r="C14" s="170">
        <v>3403</v>
      </c>
      <c r="D14" s="170">
        <v>2234</v>
      </c>
      <c r="E14" s="170">
        <v>5637</v>
      </c>
      <c r="F14" s="170">
        <v>1955</v>
      </c>
      <c r="G14" s="170">
        <v>1558</v>
      </c>
      <c r="H14" s="170">
        <v>3513</v>
      </c>
      <c r="I14" s="176">
        <v>0</v>
      </c>
      <c r="J14" s="176">
        <v>0</v>
      </c>
      <c r="K14" s="176">
        <v>0</v>
      </c>
      <c r="L14" s="169">
        <v>1955</v>
      </c>
      <c r="M14" s="169">
        <v>1558</v>
      </c>
      <c r="N14" s="170">
        <v>3513</v>
      </c>
      <c r="O14" s="314">
        <v>57.449309432853369</v>
      </c>
      <c r="P14" s="314">
        <v>69.740376007162041</v>
      </c>
      <c r="Q14" s="314">
        <v>62.320383182543907</v>
      </c>
      <c r="R14" s="170">
        <v>1955</v>
      </c>
      <c r="S14" s="170">
        <v>1558</v>
      </c>
      <c r="T14" s="170">
        <v>3513</v>
      </c>
      <c r="U14" s="176"/>
      <c r="V14" s="176"/>
      <c r="W14" s="176"/>
      <c r="X14" s="176"/>
      <c r="Y14" s="176"/>
      <c r="Z14" s="176">
        <v>0</v>
      </c>
      <c r="AA14" s="215"/>
      <c r="AB14" s="215"/>
      <c r="AC14" s="215"/>
      <c r="AD14" s="215"/>
      <c r="AE14" s="215"/>
      <c r="AF14" s="215"/>
    </row>
    <row r="15" spans="1:32" x14ac:dyDescent="0.25">
      <c r="A15" s="166">
        <v>6</v>
      </c>
      <c r="B15" s="43" t="s">
        <v>266</v>
      </c>
      <c r="C15" s="170">
        <v>27</v>
      </c>
      <c r="D15" s="170">
        <v>150</v>
      </c>
      <c r="E15" s="170">
        <v>177</v>
      </c>
      <c r="F15" s="170">
        <v>26</v>
      </c>
      <c r="G15" s="170">
        <v>146</v>
      </c>
      <c r="H15" s="170">
        <v>172</v>
      </c>
      <c r="I15" s="170">
        <v>1</v>
      </c>
      <c r="J15" s="170">
        <v>3</v>
      </c>
      <c r="K15" s="170">
        <v>4</v>
      </c>
      <c r="L15" s="169">
        <v>27</v>
      </c>
      <c r="M15" s="169">
        <v>149</v>
      </c>
      <c r="N15" s="170">
        <v>176</v>
      </c>
      <c r="O15" s="314">
        <v>100</v>
      </c>
      <c r="P15" s="314">
        <v>99.333333333333329</v>
      </c>
      <c r="Q15" s="314">
        <v>99.435028248587571</v>
      </c>
      <c r="R15" s="170">
        <v>27</v>
      </c>
      <c r="S15" s="170">
        <v>149</v>
      </c>
      <c r="T15" s="170">
        <v>176</v>
      </c>
      <c r="U15" s="170">
        <v>6</v>
      </c>
      <c r="V15" s="170">
        <v>36</v>
      </c>
      <c r="W15" s="170">
        <v>42</v>
      </c>
      <c r="X15" s="170">
        <v>8</v>
      </c>
      <c r="Y15" s="170">
        <v>49</v>
      </c>
      <c r="Z15" s="170">
        <v>57</v>
      </c>
      <c r="AA15" s="314">
        <v>22.222222222222221</v>
      </c>
      <c r="AB15" s="314">
        <v>24.161073825503355</v>
      </c>
      <c r="AC15" s="314">
        <v>23.863636363636363</v>
      </c>
      <c r="AD15" s="314">
        <v>29.629629629629626</v>
      </c>
      <c r="AE15" s="314">
        <v>32.885906040268459</v>
      </c>
      <c r="AF15" s="314">
        <v>32.386363636363633</v>
      </c>
    </row>
    <row r="16" spans="1:32" x14ac:dyDescent="0.25">
      <c r="A16" s="166">
        <v>7</v>
      </c>
      <c r="B16" s="43" t="s">
        <v>138</v>
      </c>
      <c r="C16" s="170">
        <v>566012</v>
      </c>
      <c r="D16" s="170">
        <v>410922</v>
      </c>
      <c r="E16" s="170">
        <v>976934</v>
      </c>
      <c r="F16" s="170">
        <v>409128</v>
      </c>
      <c r="G16" s="170">
        <v>250368</v>
      </c>
      <c r="H16" s="170">
        <v>659496</v>
      </c>
      <c r="I16" s="170">
        <v>16693</v>
      </c>
      <c r="J16" s="170">
        <v>23809</v>
      </c>
      <c r="K16" s="170">
        <v>40502</v>
      </c>
      <c r="L16" s="169">
        <v>425821</v>
      </c>
      <c r="M16" s="169">
        <v>274177</v>
      </c>
      <c r="N16" s="170">
        <v>699998</v>
      </c>
      <c r="O16" s="314">
        <v>75.231797205712951</v>
      </c>
      <c r="P16" s="314">
        <v>66.722395004404731</v>
      </c>
      <c r="Q16" s="314">
        <v>71.652537428321665</v>
      </c>
      <c r="R16" s="170">
        <v>425821</v>
      </c>
      <c r="S16" s="170">
        <v>274177</v>
      </c>
      <c r="T16" s="170">
        <v>699998</v>
      </c>
      <c r="U16" s="170">
        <v>10859</v>
      </c>
      <c r="V16" s="170">
        <v>3731</v>
      </c>
      <c r="W16" s="170">
        <v>14590</v>
      </c>
      <c r="X16" s="170">
        <v>96297</v>
      </c>
      <c r="Y16" s="170">
        <v>41103</v>
      </c>
      <c r="Z16" s="170">
        <v>137400</v>
      </c>
      <c r="AA16" s="314">
        <v>2.5501325674403095</v>
      </c>
      <c r="AB16" s="314">
        <v>1.3607997753276169</v>
      </c>
      <c r="AC16" s="314">
        <v>2.0842916694047697</v>
      </c>
      <c r="AD16" s="314">
        <v>22.614431885698451</v>
      </c>
      <c r="AE16" s="314">
        <v>14.991410658078541</v>
      </c>
      <c r="AF16" s="314">
        <v>19.628627510364318</v>
      </c>
    </row>
    <row r="17" spans="1:32" x14ac:dyDescent="0.25">
      <c r="A17" s="166">
        <v>8</v>
      </c>
      <c r="B17" s="43" t="s">
        <v>267</v>
      </c>
      <c r="C17" s="170">
        <v>43233</v>
      </c>
      <c r="D17" s="170">
        <v>86988</v>
      </c>
      <c r="E17" s="170">
        <v>130221</v>
      </c>
      <c r="F17" s="170">
        <v>39533</v>
      </c>
      <c r="G17" s="170">
        <v>63087</v>
      </c>
      <c r="H17" s="170">
        <v>102620</v>
      </c>
      <c r="I17" s="176"/>
      <c r="J17" s="176"/>
      <c r="K17" s="176"/>
      <c r="L17" s="169">
        <v>39533</v>
      </c>
      <c r="M17" s="169">
        <v>63087</v>
      </c>
      <c r="N17" s="170">
        <v>102620</v>
      </c>
      <c r="O17" s="314">
        <v>91.441722758078313</v>
      </c>
      <c r="P17" s="314">
        <v>72.523796385708366</v>
      </c>
      <c r="Q17" s="314">
        <v>78.804493898833513</v>
      </c>
      <c r="R17" s="170">
        <v>39533</v>
      </c>
      <c r="S17" s="170">
        <v>63087</v>
      </c>
      <c r="T17" s="170">
        <v>102620</v>
      </c>
      <c r="U17" s="176"/>
      <c r="V17" s="176"/>
      <c r="W17" s="176"/>
      <c r="X17" s="170">
        <v>23367</v>
      </c>
      <c r="Y17" s="170">
        <v>33862</v>
      </c>
      <c r="Z17" s="170">
        <v>57229</v>
      </c>
      <c r="AA17" s="215"/>
      <c r="AB17" s="215"/>
      <c r="AC17" s="215"/>
      <c r="AD17" s="314">
        <v>59.107581008271573</v>
      </c>
      <c r="AE17" s="314">
        <v>53.67508361469082</v>
      </c>
      <c r="AF17" s="314">
        <v>55.767881504580004</v>
      </c>
    </row>
    <row r="18" spans="1:32" ht="28.5" x14ac:dyDescent="0.25">
      <c r="A18" s="166">
        <v>9</v>
      </c>
      <c r="B18" s="35" t="s">
        <v>56</v>
      </c>
      <c r="C18" s="170">
        <v>196431</v>
      </c>
      <c r="D18" s="170">
        <v>188301</v>
      </c>
      <c r="E18" s="170">
        <v>384732</v>
      </c>
      <c r="F18" s="170">
        <v>101457</v>
      </c>
      <c r="G18" s="170">
        <v>95937</v>
      </c>
      <c r="H18" s="170">
        <v>197394</v>
      </c>
      <c r="I18" s="170">
        <v>1958</v>
      </c>
      <c r="J18" s="170">
        <v>1836</v>
      </c>
      <c r="K18" s="170">
        <v>3794</v>
      </c>
      <c r="L18" s="168">
        <v>103415</v>
      </c>
      <c r="M18" s="168">
        <v>97773</v>
      </c>
      <c r="N18" s="170">
        <v>201188</v>
      </c>
      <c r="O18" s="171">
        <v>52.646985455452558</v>
      </c>
      <c r="P18" s="171">
        <v>51.92378160498351</v>
      </c>
      <c r="Q18" s="171">
        <v>52.293024754894311</v>
      </c>
      <c r="R18" s="168">
        <v>103415</v>
      </c>
      <c r="S18" s="168">
        <v>97773</v>
      </c>
      <c r="T18" s="168">
        <v>201188</v>
      </c>
      <c r="U18" s="173"/>
      <c r="V18" s="173"/>
      <c r="W18" s="173"/>
      <c r="X18" s="173"/>
      <c r="Y18" s="173"/>
      <c r="Z18" s="173"/>
      <c r="AA18" s="174"/>
      <c r="AB18" s="174"/>
      <c r="AC18" s="174"/>
      <c r="AD18" s="175"/>
      <c r="AE18" s="175"/>
      <c r="AF18" s="175"/>
    </row>
    <row r="19" spans="1:32" x14ac:dyDescent="0.25">
      <c r="A19" s="166">
        <v>10</v>
      </c>
      <c r="B19" s="43" t="s">
        <v>305</v>
      </c>
      <c r="C19" s="170">
        <v>308</v>
      </c>
      <c r="D19" s="170">
        <v>175</v>
      </c>
      <c r="E19" s="170">
        <v>483</v>
      </c>
      <c r="F19" s="170">
        <v>203</v>
      </c>
      <c r="G19" s="170">
        <v>128</v>
      </c>
      <c r="H19" s="170">
        <v>331</v>
      </c>
      <c r="I19" s="170">
        <v>61</v>
      </c>
      <c r="J19" s="170">
        <v>31</v>
      </c>
      <c r="K19" s="170">
        <v>92</v>
      </c>
      <c r="L19" s="170">
        <v>264</v>
      </c>
      <c r="M19" s="170">
        <v>159</v>
      </c>
      <c r="N19" s="170">
        <v>423</v>
      </c>
      <c r="O19" s="314">
        <v>85.714285714285708</v>
      </c>
      <c r="P19" s="314">
        <v>90.857142857142861</v>
      </c>
      <c r="Q19" s="314">
        <v>87.577639751552795</v>
      </c>
      <c r="R19" s="170">
        <v>264</v>
      </c>
      <c r="S19" s="170">
        <v>159</v>
      </c>
      <c r="T19" s="170">
        <v>423</v>
      </c>
      <c r="U19" s="176"/>
      <c r="V19" s="176"/>
      <c r="W19" s="176"/>
      <c r="X19" s="176"/>
      <c r="Y19" s="176"/>
      <c r="Z19" s="170">
        <v>14</v>
      </c>
      <c r="AA19" s="215"/>
      <c r="AB19" s="215">
        <v>0</v>
      </c>
      <c r="AC19" s="215"/>
      <c r="AD19" s="215"/>
      <c r="AE19" s="215"/>
      <c r="AF19" s="314">
        <v>3.3096926713947985</v>
      </c>
    </row>
    <row r="20" spans="1:32" ht="28.5" x14ac:dyDescent="0.25">
      <c r="A20" s="166">
        <v>11</v>
      </c>
      <c r="B20" s="43" t="s">
        <v>144</v>
      </c>
      <c r="C20" s="170">
        <v>319</v>
      </c>
      <c r="D20" s="170">
        <v>210</v>
      </c>
      <c r="E20" s="170">
        <v>529</v>
      </c>
      <c r="F20" s="170">
        <v>288</v>
      </c>
      <c r="G20" s="170">
        <v>188</v>
      </c>
      <c r="H20" s="170">
        <v>476</v>
      </c>
      <c r="I20" s="170">
        <v>25</v>
      </c>
      <c r="J20" s="170">
        <v>15</v>
      </c>
      <c r="K20" s="170">
        <v>40</v>
      </c>
      <c r="L20" s="169">
        <v>313</v>
      </c>
      <c r="M20" s="169">
        <v>203</v>
      </c>
      <c r="N20" s="170">
        <v>516</v>
      </c>
      <c r="O20" s="314">
        <v>98.119122257053291</v>
      </c>
      <c r="P20" s="314">
        <v>96.666666666666671</v>
      </c>
      <c r="Q20" s="314">
        <v>97.542533081285441</v>
      </c>
      <c r="R20" s="170">
        <v>313</v>
      </c>
      <c r="S20" s="170">
        <v>203</v>
      </c>
      <c r="T20" s="170">
        <v>516</v>
      </c>
      <c r="U20" s="170">
        <v>3</v>
      </c>
      <c r="V20" s="170">
        <v>0</v>
      </c>
      <c r="W20" s="170">
        <v>3</v>
      </c>
      <c r="X20" s="170">
        <v>99</v>
      </c>
      <c r="Y20" s="170">
        <v>64</v>
      </c>
      <c r="Z20" s="170">
        <v>163</v>
      </c>
      <c r="AA20" s="314">
        <v>0.95846645367412142</v>
      </c>
      <c r="AB20" s="334">
        <v>0</v>
      </c>
      <c r="AC20" s="314">
        <v>0.58139534883720934</v>
      </c>
      <c r="AD20" s="314">
        <v>31.629392971246009</v>
      </c>
      <c r="AE20" s="314">
        <v>31.527093596059117</v>
      </c>
      <c r="AF20" s="314">
        <v>31.589147286821703</v>
      </c>
    </row>
    <row r="21" spans="1:32" ht="28.5" x14ac:dyDescent="0.25">
      <c r="A21" s="166">
        <v>12</v>
      </c>
      <c r="B21" s="43" t="s">
        <v>148</v>
      </c>
      <c r="C21" s="170">
        <v>8563</v>
      </c>
      <c r="D21" s="170">
        <v>8211</v>
      </c>
      <c r="E21" s="170">
        <v>16774</v>
      </c>
      <c r="F21" s="170">
        <v>6948</v>
      </c>
      <c r="G21" s="170">
        <v>6580</v>
      </c>
      <c r="H21" s="170">
        <v>13528</v>
      </c>
      <c r="I21" s="170">
        <v>151</v>
      </c>
      <c r="J21" s="170">
        <v>172</v>
      </c>
      <c r="K21" s="170">
        <v>323</v>
      </c>
      <c r="L21" s="169">
        <v>7099</v>
      </c>
      <c r="M21" s="169">
        <v>6752</v>
      </c>
      <c r="N21" s="170">
        <v>13851</v>
      </c>
      <c r="O21" s="314">
        <v>82.903188134999411</v>
      </c>
      <c r="P21" s="314">
        <v>82.231153330897584</v>
      </c>
      <c r="Q21" s="314">
        <v>82.574222010253962</v>
      </c>
      <c r="R21" s="170">
        <v>7099</v>
      </c>
      <c r="S21" s="170">
        <v>6752</v>
      </c>
      <c r="T21" s="170">
        <v>13851</v>
      </c>
      <c r="U21" s="170">
        <v>542</v>
      </c>
      <c r="V21" s="170">
        <v>864</v>
      </c>
      <c r="W21" s="170">
        <v>1406</v>
      </c>
      <c r="X21" s="170">
        <v>1323</v>
      </c>
      <c r="Y21" s="170">
        <v>1626</v>
      </c>
      <c r="Z21" s="170">
        <v>2949</v>
      </c>
      <c r="AA21" s="314">
        <v>7.6348781518523738</v>
      </c>
      <c r="AB21" s="314">
        <v>12.796208530805687</v>
      </c>
      <c r="AC21" s="314">
        <v>10.150891632373115</v>
      </c>
      <c r="AD21" s="314">
        <v>18.636427665868432</v>
      </c>
      <c r="AE21" s="314">
        <v>24.08175355450237</v>
      </c>
      <c r="AF21" s="314">
        <v>21.290881524799655</v>
      </c>
    </row>
    <row r="22" spans="1:32" ht="28.5" x14ac:dyDescent="0.25">
      <c r="A22" s="166">
        <v>13</v>
      </c>
      <c r="B22" s="43" t="s">
        <v>149</v>
      </c>
      <c r="C22" s="170">
        <v>594541</v>
      </c>
      <c r="D22" s="170">
        <v>342309</v>
      </c>
      <c r="E22" s="170">
        <v>936850</v>
      </c>
      <c r="F22" s="170">
        <v>393899</v>
      </c>
      <c r="G22" s="170">
        <v>258852</v>
      </c>
      <c r="H22" s="170">
        <v>652751</v>
      </c>
      <c r="I22" s="170">
        <v>33868</v>
      </c>
      <c r="J22" s="170">
        <v>17581</v>
      </c>
      <c r="K22" s="170">
        <v>51449</v>
      </c>
      <c r="L22" s="169">
        <v>427767</v>
      </c>
      <c r="M22" s="169">
        <v>276433</v>
      </c>
      <c r="N22" s="170">
        <v>704200</v>
      </c>
      <c r="O22" s="314">
        <v>71.94911704995954</v>
      </c>
      <c r="P22" s="314">
        <v>80.755399361395703</v>
      </c>
      <c r="Q22" s="314">
        <v>75.166782302396328</v>
      </c>
      <c r="R22" s="170">
        <v>427767</v>
      </c>
      <c r="S22" s="170">
        <v>276433</v>
      </c>
      <c r="T22" s="170">
        <v>704200</v>
      </c>
      <c r="U22" s="170">
        <v>59558</v>
      </c>
      <c r="V22" s="170">
        <v>46298</v>
      </c>
      <c r="W22" s="170">
        <v>105856</v>
      </c>
      <c r="X22" s="170">
        <v>112202</v>
      </c>
      <c r="Y22" s="170">
        <v>85727</v>
      </c>
      <c r="Z22" s="170">
        <v>197929</v>
      </c>
      <c r="AA22" s="314">
        <v>13.923000137925552</v>
      </c>
      <c r="AB22" s="314">
        <v>16.748362170941963</v>
      </c>
      <c r="AC22" s="314">
        <v>15.032093155353593</v>
      </c>
      <c r="AD22" s="314">
        <v>26.229699813216072</v>
      </c>
      <c r="AE22" s="314">
        <v>31.011854590443253</v>
      </c>
      <c r="AF22" s="314">
        <v>28.106929849474582</v>
      </c>
    </row>
    <row r="23" spans="1:32" x14ac:dyDescent="0.25">
      <c r="A23" s="166">
        <v>14</v>
      </c>
      <c r="B23" s="43" t="s">
        <v>140</v>
      </c>
      <c r="C23" s="170">
        <v>196742</v>
      </c>
      <c r="D23" s="170">
        <v>158121</v>
      </c>
      <c r="E23" s="170">
        <v>354863</v>
      </c>
      <c r="F23" s="170">
        <v>129533</v>
      </c>
      <c r="G23" s="170">
        <v>111972</v>
      </c>
      <c r="H23" s="170">
        <v>241505</v>
      </c>
      <c r="I23" s="170">
        <v>25270</v>
      </c>
      <c r="J23" s="170">
        <v>16530</v>
      </c>
      <c r="K23" s="170">
        <v>41800</v>
      </c>
      <c r="L23" s="169">
        <v>154803</v>
      </c>
      <c r="M23" s="169">
        <v>128502</v>
      </c>
      <c r="N23" s="170">
        <v>283305</v>
      </c>
      <c r="O23" s="314">
        <v>78.683250144859755</v>
      </c>
      <c r="P23" s="314">
        <v>81.268142751437182</v>
      </c>
      <c r="Q23" s="314">
        <v>79.83503492897259</v>
      </c>
      <c r="R23" s="170">
        <v>154803</v>
      </c>
      <c r="S23" s="170">
        <v>128502</v>
      </c>
      <c r="T23" s="170">
        <v>283305</v>
      </c>
      <c r="U23" s="170">
        <v>4179</v>
      </c>
      <c r="V23" s="170">
        <v>5597</v>
      </c>
      <c r="W23" s="170">
        <v>9776</v>
      </c>
      <c r="X23" s="170">
        <v>42039</v>
      </c>
      <c r="Y23" s="170">
        <v>41900</v>
      </c>
      <c r="Z23" s="170">
        <v>83939</v>
      </c>
      <c r="AA23" s="314">
        <v>2.6995600860448441</v>
      </c>
      <c r="AB23" s="314">
        <v>4.355574232307668</v>
      </c>
      <c r="AC23" s="314">
        <v>3.4506980109775682</v>
      </c>
      <c r="AD23" s="314">
        <v>27.156450456386505</v>
      </c>
      <c r="AE23" s="314">
        <v>32.606496396943236</v>
      </c>
      <c r="AF23" s="314">
        <v>29.628492260990804</v>
      </c>
    </row>
    <row r="24" spans="1:32" x14ac:dyDescent="0.25">
      <c r="A24" s="166">
        <v>15</v>
      </c>
      <c r="B24" s="43" t="s">
        <v>150</v>
      </c>
      <c r="C24" s="170">
        <v>69113</v>
      </c>
      <c r="D24" s="170">
        <v>62840</v>
      </c>
      <c r="E24" s="170">
        <v>131953</v>
      </c>
      <c r="F24" s="170">
        <v>43100</v>
      </c>
      <c r="G24" s="170">
        <v>39478</v>
      </c>
      <c r="H24" s="170">
        <v>82578</v>
      </c>
      <c r="I24" s="170">
        <v>7878</v>
      </c>
      <c r="J24" s="170">
        <v>7794</v>
      </c>
      <c r="K24" s="170">
        <v>15672</v>
      </c>
      <c r="L24" s="169">
        <v>50978</v>
      </c>
      <c r="M24" s="169">
        <v>47272</v>
      </c>
      <c r="N24" s="170">
        <v>98250</v>
      </c>
      <c r="O24" s="314">
        <v>73.760363462734944</v>
      </c>
      <c r="P24" s="314">
        <v>75.225970719287076</v>
      </c>
      <c r="Q24" s="314">
        <v>74.458329859874354</v>
      </c>
      <c r="R24" s="170">
        <v>50978</v>
      </c>
      <c r="S24" s="170">
        <v>47272</v>
      </c>
      <c r="T24" s="170">
        <v>98250</v>
      </c>
      <c r="U24" s="170">
        <v>3991</v>
      </c>
      <c r="V24" s="170">
        <v>4429</v>
      </c>
      <c r="W24" s="170">
        <v>8420</v>
      </c>
      <c r="X24" s="170">
        <v>14872</v>
      </c>
      <c r="Y24" s="170">
        <v>15610</v>
      </c>
      <c r="Z24" s="170">
        <v>30482</v>
      </c>
      <c r="AA24" s="314">
        <v>7.828867354545098</v>
      </c>
      <c r="AB24" s="314">
        <v>9.3691826028092731</v>
      </c>
      <c r="AC24" s="314">
        <v>8.5699745547073789</v>
      </c>
      <c r="AD24" s="314">
        <v>29.1733689042332</v>
      </c>
      <c r="AE24" s="314">
        <v>33.021661871721101</v>
      </c>
      <c r="AF24" s="314">
        <v>31.024936386768449</v>
      </c>
    </row>
    <row r="25" spans="1:32" x14ac:dyDescent="0.25">
      <c r="A25" s="166">
        <v>16</v>
      </c>
      <c r="B25" s="43" t="s">
        <v>151</v>
      </c>
      <c r="C25" s="170">
        <v>236818</v>
      </c>
      <c r="D25" s="170">
        <v>174287</v>
      </c>
      <c r="E25" s="170">
        <v>411105</v>
      </c>
      <c r="F25" s="170">
        <v>97968</v>
      </c>
      <c r="G25" s="170">
        <v>74239</v>
      </c>
      <c r="H25" s="170">
        <v>172207</v>
      </c>
      <c r="I25" s="176"/>
      <c r="J25" s="176"/>
      <c r="K25" s="176"/>
      <c r="L25" s="170">
        <v>97968</v>
      </c>
      <c r="M25" s="170">
        <v>74239</v>
      </c>
      <c r="N25" s="170">
        <v>172207</v>
      </c>
      <c r="O25" s="314">
        <v>41.368477058331713</v>
      </c>
      <c r="P25" s="314">
        <v>42.595833309426403</v>
      </c>
      <c r="Q25" s="314">
        <v>41.888811860716842</v>
      </c>
      <c r="R25" s="170">
        <v>97968</v>
      </c>
      <c r="S25" s="170">
        <v>74239</v>
      </c>
      <c r="T25" s="170">
        <v>172207</v>
      </c>
      <c r="U25" s="176"/>
      <c r="V25" s="176"/>
      <c r="W25" s="176"/>
      <c r="X25" s="176"/>
      <c r="Y25" s="176"/>
      <c r="Z25" s="176"/>
      <c r="AA25" s="215"/>
      <c r="AB25" s="215"/>
      <c r="AC25" s="215"/>
      <c r="AD25" s="215"/>
      <c r="AE25" s="215"/>
      <c r="AF25" s="215"/>
    </row>
    <row r="26" spans="1:32" x14ac:dyDescent="0.25">
      <c r="A26" s="166">
        <v>17</v>
      </c>
      <c r="B26" s="43" t="s">
        <v>152</v>
      </c>
      <c r="C26" s="170">
        <v>141354</v>
      </c>
      <c r="D26" s="170">
        <v>121248</v>
      </c>
      <c r="E26" s="170">
        <v>262602</v>
      </c>
      <c r="F26" s="170">
        <v>99931</v>
      </c>
      <c r="G26" s="170">
        <v>79454</v>
      </c>
      <c r="H26" s="170">
        <v>179385</v>
      </c>
      <c r="I26" s="170">
        <v>2719</v>
      </c>
      <c r="J26" s="170">
        <v>4414</v>
      </c>
      <c r="K26" s="170">
        <v>7133</v>
      </c>
      <c r="L26" s="169">
        <v>102650</v>
      </c>
      <c r="M26" s="169">
        <v>83868</v>
      </c>
      <c r="N26" s="170">
        <v>186518</v>
      </c>
      <c r="O26" s="314">
        <v>72.619098150742118</v>
      </c>
      <c r="P26" s="314">
        <v>69.170625494853525</v>
      </c>
      <c r="Q26" s="314">
        <v>71.026877175345206</v>
      </c>
      <c r="R26" s="170">
        <v>102650</v>
      </c>
      <c r="S26" s="170">
        <v>83868</v>
      </c>
      <c r="T26" s="170">
        <v>186518</v>
      </c>
      <c r="U26" s="170">
        <v>2022</v>
      </c>
      <c r="V26" s="170">
        <v>1068</v>
      </c>
      <c r="W26" s="170">
        <v>3090</v>
      </c>
      <c r="X26" s="170">
        <v>19366</v>
      </c>
      <c r="Y26" s="170">
        <v>13907</v>
      </c>
      <c r="Z26" s="170">
        <v>33273</v>
      </c>
      <c r="AA26" s="314">
        <v>1.9698002922552362</v>
      </c>
      <c r="AB26" s="314">
        <v>1.2734296752038918</v>
      </c>
      <c r="AC26" s="314">
        <v>1.6566765674090436</v>
      </c>
      <c r="AD26" s="314">
        <v>18.866049683390159</v>
      </c>
      <c r="AE26" s="314">
        <v>16.582009824963038</v>
      </c>
      <c r="AF26" s="314">
        <v>17.839028940906505</v>
      </c>
    </row>
    <row r="27" spans="1:32" ht="28.5" x14ac:dyDescent="0.25">
      <c r="A27" s="166">
        <v>18</v>
      </c>
      <c r="B27" s="43" t="s">
        <v>285</v>
      </c>
      <c r="C27" s="170">
        <v>454814</v>
      </c>
      <c r="D27" s="170">
        <v>400701</v>
      </c>
      <c r="E27" s="170">
        <v>855515</v>
      </c>
      <c r="F27" s="170">
        <v>322587</v>
      </c>
      <c r="G27" s="170">
        <v>318521</v>
      </c>
      <c r="H27" s="170">
        <v>641108</v>
      </c>
      <c r="I27" s="170">
        <v>38492</v>
      </c>
      <c r="J27" s="170">
        <v>25184</v>
      </c>
      <c r="K27" s="170">
        <v>63676</v>
      </c>
      <c r="L27" s="169">
        <v>361079</v>
      </c>
      <c r="M27" s="169">
        <v>343705</v>
      </c>
      <c r="N27" s="170">
        <v>704784</v>
      </c>
      <c r="O27" s="314">
        <v>79.39047610671615</v>
      </c>
      <c r="P27" s="314">
        <v>85.775927686729005</v>
      </c>
      <c r="Q27" s="314">
        <v>82.381255734849773</v>
      </c>
      <c r="R27" s="170">
        <v>361079</v>
      </c>
      <c r="S27" s="170">
        <v>343705</v>
      </c>
      <c r="T27" s="170">
        <v>704784</v>
      </c>
      <c r="U27" s="170">
        <v>49706</v>
      </c>
      <c r="V27" s="170">
        <v>60798</v>
      </c>
      <c r="W27" s="170">
        <v>110504</v>
      </c>
      <c r="X27" s="170">
        <v>75278</v>
      </c>
      <c r="Y27" s="170">
        <v>84748</v>
      </c>
      <c r="Z27" s="170">
        <v>160026</v>
      </c>
      <c r="AA27" s="314">
        <v>13.765962573287286</v>
      </c>
      <c r="AB27" s="314">
        <v>17.689006560858875</v>
      </c>
      <c r="AC27" s="314">
        <v>15.679130059706235</v>
      </c>
      <c r="AD27" s="314">
        <v>20.848069259081807</v>
      </c>
      <c r="AE27" s="314">
        <v>24.657191486885555</v>
      </c>
      <c r="AF27" s="314">
        <v>22.705680038139345</v>
      </c>
    </row>
    <row r="28" spans="1:32" x14ac:dyDescent="0.25">
      <c r="A28" s="166">
        <v>19</v>
      </c>
      <c r="B28" s="43" t="s">
        <v>286</v>
      </c>
      <c r="C28" s="170">
        <v>228265</v>
      </c>
      <c r="D28" s="170">
        <v>229930</v>
      </c>
      <c r="E28" s="170">
        <v>462966</v>
      </c>
      <c r="F28" s="170">
        <v>204768</v>
      </c>
      <c r="G28" s="170">
        <v>213851</v>
      </c>
      <c r="H28" s="170">
        <v>420831</v>
      </c>
      <c r="I28" s="176"/>
      <c r="J28" s="176"/>
      <c r="K28" s="176"/>
      <c r="L28" s="169">
        <v>204768</v>
      </c>
      <c r="M28" s="169">
        <v>213851</v>
      </c>
      <c r="N28" s="170">
        <v>420831</v>
      </c>
      <c r="O28" s="314">
        <v>89.706262458107901</v>
      </c>
      <c r="P28" s="314">
        <v>93.007002131083368</v>
      </c>
      <c r="Q28" s="314">
        <v>90.89889970321795</v>
      </c>
      <c r="R28" s="170">
        <v>204768</v>
      </c>
      <c r="S28" s="170">
        <v>213851</v>
      </c>
      <c r="T28" s="170">
        <v>420831</v>
      </c>
      <c r="U28" s="176"/>
      <c r="V28" s="176"/>
      <c r="W28" s="176"/>
      <c r="X28" s="176"/>
      <c r="Y28" s="176"/>
      <c r="Z28" s="176"/>
      <c r="AA28" s="215"/>
      <c r="AB28" s="215"/>
      <c r="AC28" s="215"/>
      <c r="AD28" s="215"/>
      <c r="AE28" s="215"/>
      <c r="AF28" s="215"/>
    </row>
    <row r="29" spans="1:32" ht="42.75" x14ac:dyDescent="0.25">
      <c r="A29" s="166">
        <v>20</v>
      </c>
      <c r="B29" s="27" t="s">
        <v>271</v>
      </c>
      <c r="C29" s="170">
        <v>900227</v>
      </c>
      <c r="D29" s="170">
        <v>732526</v>
      </c>
      <c r="E29" s="170">
        <v>1632753</v>
      </c>
      <c r="F29" s="170">
        <v>617377</v>
      </c>
      <c r="G29" s="170">
        <v>542531</v>
      </c>
      <c r="H29" s="170">
        <v>1159908</v>
      </c>
      <c r="I29" s="170">
        <v>29862</v>
      </c>
      <c r="J29" s="170">
        <v>19939</v>
      </c>
      <c r="K29" s="170">
        <v>49801</v>
      </c>
      <c r="L29" s="167">
        <v>647239</v>
      </c>
      <c r="M29" s="167">
        <v>562470</v>
      </c>
      <c r="N29" s="170">
        <v>1209709</v>
      </c>
      <c r="O29" s="171">
        <v>71.897310345057406</v>
      </c>
      <c r="P29" s="171">
        <v>76.784987836609204</v>
      </c>
      <c r="Q29" s="171">
        <v>74.090141007243588</v>
      </c>
      <c r="R29" s="168">
        <f>L29</f>
        <v>647239</v>
      </c>
      <c r="S29" s="168">
        <f>M29</f>
        <v>562470</v>
      </c>
      <c r="T29" s="168">
        <f>N29</f>
        <v>1209709</v>
      </c>
      <c r="U29" s="168">
        <v>127330</v>
      </c>
      <c r="V29" s="168">
        <v>134213</v>
      </c>
      <c r="W29" s="168">
        <f>U29+V29</f>
        <v>261543</v>
      </c>
      <c r="X29" s="168">
        <v>207045</v>
      </c>
      <c r="Y29" s="168">
        <v>200535</v>
      </c>
      <c r="Z29" s="168">
        <f>X29+Y29</f>
        <v>407580</v>
      </c>
      <c r="AA29" s="171">
        <f>U29/R29%</f>
        <v>19.672794748153308</v>
      </c>
      <c r="AB29" s="171">
        <f>V29/S29%</f>
        <v>23.861361494835283</v>
      </c>
      <c r="AC29" s="171">
        <f>W29/T29%</f>
        <v>21.620323565419451</v>
      </c>
      <c r="AD29" s="335">
        <f>X29/R29%</f>
        <v>31.988956166114836</v>
      </c>
      <c r="AE29" s="335">
        <f>Y29/S29%</f>
        <v>35.652568136967304</v>
      </c>
      <c r="AF29" s="335">
        <f>Z29/T29%</f>
        <v>33.692400403733458</v>
      </c>
    </row>
    <row r="30" spans="1:32" ht="28.5" x14ac:dyDescent="0.25">
      <c r="A30" s="166">
        <v>21</v>
      </c>
      <c r="B30" s="27" t="s">
        <v>272</v>
      </c>
      <c r="C30" s="170">
        <v>503813</v>
      </c>
      <c r="D30" s="170">
        <v>359065</v>
      </c>
      <c r="E30" s="170">
        <v>862878</v>
      </c>
      <c r="F30" s="170">
        <v>246195</v>
      </c>
      <c r="G30" s="170">
        <v>184473</v>
      </c>
      <c r="H30" s="170">
        <v>430668</v>
      </c>
      <c r="I30" s="170">
        <v>55956</v>
      </c>
      <c r="J30" s="170">
        <v>42011</v>
      </c>
      <c r="K30" s="170">
        <v>97967</v>
      </c>
      <c r="L30" s="169">
        <v>302151</v>
      </c>
      <c r="M30" s="169">
        <v>226484</v>
      </c>
      <c r="N30" s="170">
        <v>528635</v>
      </c>
      <c r="O30" s="314">
        <v>59.972847068257472</v>
      </c>
      <c r="P30" s="314">
        <v>63.07604472727779</v>
      </c>
      <c r="Q30" s="314">
        <v>61.264164806612285</v>
      </c>
      <c r="R30" s="170">
        <v>302151</v>
      </c>
      <c r="S30" s="170">
        <v>226484</v>
      </c>
      <c r="T30" s="170">
        <v>528635</v>
      </c>
      <c r="U30" s="170">
        <v>20381</v>
      </c>
      <c r="V30" s="170">
        <v>17423</v>
      </c>
      <c r="W30" s="170">
        <v>37804</v>
      </c>
      <c r="X30" s="170">
        <v>64264</v>
      </c>
      <c r="Y30" s="170">
        <v>51357</v>
      </c>
      <c r="Z30" s="170">
        <v>115621</v>
      </c>
      <c r="AA30" s="314">
        <v>6.7453028452661083</v>
      </c>
      <c r="AB30" s="314">
        <v>7.6928171526465441</v>
      </c>
      <c r="AC30" s="314">
        <v>7.1512480255753017</v>
      </c>
      <c r="AD30" s="314">
        <v>21.268835780785103</v>
      </c>
      <c r="AE30" s="314">
        <v>22.675774006110807</v>
      </c>
      <c r="AF30" s="314">
        <v>21.871612738467938</v>
      </c>
    </row>
    <row r="31" spans="1:32" ht="28.5" x14ac:dyDescent="0.25">
      <c r="A31" s="166">
        <v>22</v>
      </c>
      <c r="B31" s="27" t="s">
        <v>141</v>
      </c>
      <c r="C31" s="170">
        <v>18458</v>
      </c>
      <c r="D31" s="170">
        <v>16485</v>
      </c>
      <c r="E31" s="170">
        <v>34943</v>
      </c>
      <c r="F31" s="170">
        <v>13869</v>
      </c>
      <c r="G31" s="170">
        <v>10856</v>
      </c>
      <c r="H31" s="170">
        <v>24725</v>
      </c>
      <c r="I31" s="170">
        <v>2063</v>
      </c>
      <c r="J31" s="170">
        <v>2194</v>
      </c>
      <c r="K31" s="170">
        <v>4257</v>
      </c>
      <c r="L31" s="167">
        <v>15932</v>
      </c>
      <c r="M31" s="167">
        <v>13050</v>
      </c>
      <c r="N31" s="170">
        <v>28982</v>
      </c>
      <c r="O31" s="171">
        <v>86.314877018095132</v>
      </c>
      <c r="P31" s="171">
        <v>79.162875341219291</v>
      </c>
      <c r="Q31" s="171">
        <v>82.940789285407675</v>
      </c>
      <c r="R31" s="168">
        <f>L31</f>
        <v>15932</v>
      </c>
      <c r="S31" s="168">
        <f>M31</f>
        <v>13050</v>
      </c>
      <c r="T31" s="168">
        <f>N31</f>
        <v>28982</v>
      </c>
      <c r="U31" s="168">
        <v>365</v>
      </c>
      <c r="V31" s="168">
        <v>234</v>
      </c>
      <c r="W31" s="168">
        <f>U31+V31</f>
        <v>599</v>
      </c>
      <c r="X31" s="168">
        <v>3545</v>
      </c>
      <c r="Y31" s="168">
        <v>2690</v>
      </c>
      <c r="Z31" s="168">
        <f>X31+Y31</f>
        <v>6235</v>
      </c>
      <c r="AA31" s="171">
        <f>U31/R31%</f>
        <v>2.2909866934471506</v>
      </c>
      <c r="AB31" s="171">
        <f>V31/S31%</f>
        <v>1.7931034482758621</v>
      </c>
      <c r="AC31" s="171">
        <f>W31/T31%</f>
        <v>2.0668000828100199</v>
      </c>
      <c r="AD31" s="335">
        <f>X31/R31%</f>
        <v>22.250815967863421</v>
      </c>
      <c r="AE31" s="335">
        <f>Y31/S31%</f>
        <v>20.613026819923373</v>
      </c>
      <c r="AF31" s="335">
        <f>Z31/T31%</f>
        <v>21.513353115727003</v>
      </c>
    </row>
    <row r="32" spans="1:32" ht="28.5" x14ac:dyDescent="0.25">
      <c r="A32" s="166">
        <v>23</v>
      </c>
      <c r="B32" s="27" t="s">
        <v>158</v>
      </c>
      <c r="C32" s="170">
        <v>16549</v>
      </c>
      <c r="D32" s="170">
        <v>19573</v>
      </c>
      <c r="E32" s="170">
        <v>36122</v>
      </c>
      <c r="F32" s="170">
        <v>7787</v>
      </c>
      <c r="G32" s="170">
        <v>8957</v>
      </c>
      <c r="H32" s="170">
        <v>16744</v>
      </c>
      <c r="I32" s="176"/>
      <c r="J32" s="176"/>
      <c r="K32" s="176"/>
      <c r="L32" s="169">
        <v>7787</v>
      </c>
      <c r="M32" s="169">
        <v>8957</v>
      </c>
      <c r="N32" s="170">
        <v>16744</v>
      </c>
      <c r="O32" s="314">
        <v>47.054202670856242</v>
      </c>
      <c r="P32" s="314">
        <v>45.762019107954835</v>
      </c>
      <c r="Q32" s="314">
        <v>46.354022479375452</v>
      </c>
      <c r="R32" s="170">
        <v>7787</v>
      </c>
      <c r="S32" s="170">
        <v>8957</v>
      </c>
      <c r="T32" s="170">
        <v>16744</v>
      </c>
      <c r="U32" s="170">
        <v>1218</v>
      </c>
      <c r="V32" s="170">
        <v>1308</v>
      </c>
      <c r="W32" s="170">
        <v>2526</v>
      </c>
      <c r="X32" s="170">
        <v>2053</v>
      </c>
      <c r="Y32" s="170">
        <v>2365</v>
      </c>
      <c r="Z32" s="170">
        <v>4418</v>
      </c>
      <c r="AA32" s="314">
        <v>15.641453704892768</v>
      </c>
      <c r="AB32" s="314">
        <v>14.603103717762645</v>
      </c>
      <c r="AC32" s="314">
        <v>15.086000955566174</v>
      </c>
      <c r="AD32" s="314">
        <v>26.364453576473608</v>
      </c>
      <c r="AE32" s="314">
        <v>26.403929887239034</v>
      </c>
      <c r="AF32" s="314">
        <v>26.385570950788342</v>
      </c>
    </row>
    <row r="33" spans="1:32" x14ac:dyDescent="0.25">
      <c r="A33" s="166">
        <v>24</v>
      </c>
      <c r="B33" s="27" t="s">
        <v>159</v>
      </c>
      <c r="C33" s="170">
        <v>5515</v>
      </c>
      <c r="D33" s="170">
        <v>5660</v>
      </c>
      <c r="E33" s="170">
        <v>11175</v>
      </c>
      <c r="F33" s="170">
        <v>3929</v>
      </c>
      <c r="G33" s="170">
        <v>3787</v>
      </c>
      <c r="H33" s="170">
        <v>7716</v>
      </c>
      <c r="I33" s="170">
        <v>61</v>
      </c>
      <c r="J33" s="170">
        <v>74</v>
      </c>
      <c r="K33" s="170">
        <v>135</v>
      </c>
      <c r="L33" s="169">
        <v>3990</v>
      </c>
      <c r="M33" s="169">
        <v>3861</v>
      </c>
      <c r="N33" s="170">
        <v>7851</v>
      </c>
      <c r="O33" s="314">
        <v>72.348141432456941</v>
      </c>
      <c r="P33" s="314">
        <v>68.215547703180206</v>
      </c>
      <c r="Q33" s="314">
        <v>70.255033557046971</v>
      </c>
      <c r="R33" s="170">
        <v>3990</v>
      </c>
      <c r="S33" s="170">
        <v>3861</v>
      </c>
      <c r="T33" s="170">
        <v>7851</v>
      </c>
      <c r="U33" s="170">
        <v>171</v>
      </c>
      <c r="V33" s="170">
        <v>210</v>
      </c>
      <c r="W33" s="170">
        <v>381</v>
      </c>
      <c r="X33" s="170">
        <v>906</v>
      </c>
      <c r="Y33" s="170">
        <v>788</v>
      </c>
      <c r="Z33" s="170">
        <v>1694</v>
      </c>
      <c r="AA33" s="314">
        <v>4.2857142857142856</v>
      </c>
      <c r="AB33" s="314">
        <v>5.439005439005439</v>
      </c>
      <c r="AC33" s="314">
        <v>4.8528849828047376</v>
      </c>
      <c r="AD33" s="314">
        <v>22.706766917293233</v>
      </c>
      <c r="AE33" s="314">
        <v>20.40922040922041</v>
      </c>
      <c r="AF33" s="314">
        <v>21.576869188638387</v>
      </c>
    </row>
    <row r="34" spans="1:32" x14ac:dyDescent="0.25">
      <c r="A34" s="166">
        <v>25</v>
      </c>
      <c r="B34" s="27" t="s">
        <v>160</v>
      </c>
      <c r="C34" s="170">
        <v>11627</v>
      </c>
      <c r="D34" s="170">
        <v>11834</v>
      </c>
      <c r="E34" s="170">
        <v>23461</v>
      </c>
      <c r="F34" s="170">
        <v>8269</v>
      </c>
      <c r="G34" s="170">
        <v>8046</v>
      </c>
      <c r="H34" s="170">
        <v>16315</v>
      </c>
      <c r="I34" s="176"/>
      <c r="J34" s="176"/>
      <c r="K34" s="176"/>
      <c r="L34" s="169">
        <v>8269</v>
      </c>
      <c r="M34" s="169">
        <v>8046</v>
      </c>
      <c r="N34" s="170">
        <v>16315</v>
      </c>
      <c r="O34" s="314">
        <v>71.118947277887685</v>
      </c>
      <c r="P34" s="314">
        <v>67.990535744465092</v>
      </c>
      <c r="Q34" s="314">
        <v>69.540940283875358</v>
      </c>
      <c r="R34" s="170">
        <v>8269</v>
      </c>
      <c r="S34" s="170">
        <v>8046</v>
      </c>
      <c r="T34" s="170">
        <v>16315</v>
      </c>
      <c r="U34" s="170">
        <v>273</v>
      </c>
      <c r="V34" s="170">
        <v>313</v>
      </c>
      <c r="W34" s="170">
        <v>586</v>
      </c>
      <c r="X34" s="170">
        <v>1170</v>
      </c>
      <c r="Y34" s="170">
        <v>1160</v>
      </c>
      <c r="Z34" s="170">
        <v>2330</v>
      </c>
      <c r="AA34" s="314">
        <v>3.3014874833716292</v>
      </c>
      <c r="AB34" s="314">
        <v>3.8901317424807362</v>
      </c>
      <c r="AC34" s="314">
        <v>3.5917866993564203</v>
      </c>
      <c r="AD34" s="314">
        <v>14.149232071592696</v>
      </c>
      <c r="AE34" s="314">
        <v>14.417101665423814</v>
      </c>
      <c r="AF34" s="314">
        <v>14.281336193686791</v>
      </c>
    </row>
    <row r="35" spans="1:32" ht="28.5" x14ac:dyDescent="0.25">
      <c r="A35" s="166">
        <v>26</v>
      </c>
      <c r="B35" s="27" t="s">
        <v>300</v>
      </c>
      <c r="C35" s="170">
        <v>244401</v>
      </c>
      <c r="D35" s="170">
        <v>230944</v>
      </c>
      <c r="E35" s="170">
        <v>475345</v>
      </c>
      <c r="F35" s="170">
        <v>153179</v>
      </c>
      <c r="G35" s="170">
        <v>141319</v>
      </c>
      <c r="H35" s="170">
        <v>294498</v>
      </c>
      <c r="I35" s="170">
        <v>10074</v>
      </c>
      <c r="J35" s="170">
        <v>8114</v>
      </c>
      <c r="K35" s="170">
        <v>18188</v>
      </c>
      <c r="L35" s="169">
        <v>163253</v>
      </c>
      <c r="M35" s="169">
        <v>149433</v>
      </c>
      <c r="N35" s="170">
        <v>312686</v>
      </c>
      <c r="O35" s="314">
        <v>66.797189864198586</v>
      </c>
      <c r="P35" s="314">
        <v>64.705296522100596</v>
      </c>
      <c r="Q35" s="314">
        <v>65.780853906110309</v>
      </c>
      <c r="R35" s="170">
        <v>163253</v>
      </c>
      <c r="S35" s="170">
        <v>149433</v>
      </c>
      <c r="T35" s="170">
        <v>312686</v>
      </c>
      <c r="U35" s="176"/>
      <c r="V35" s="176"/>
      <c r="W35" s="176"/>
      <c r="X35" s="170">
        <v>30371</v>
      </c>
      <c r="Y35" s="170">
        <v>24295</v>
      </c>
      <c r="Z35" s="170">
        <v>54666</v>
      </c>
      <c r="AA35" s="215"/>
      <c r="AB35" s="215"/>
      <c r="AC35" s="215"/>
      <c r="AD35" s="314">
        <v>18.603639749346108</v>
      </c>
      <c r="AE35" s="314">
        <v>16.258122369222328</v>
      </c>
      <c r="AF35" s="314">
        <v>17.482714288455512</v>
      </c>
    </row>
    <row r="36" spans="1:32" x14ac:dyDescent="0.25">
      <c r="A36" s="166">
        <v>27</v>
      </c>
      <c r="B36" s="27" t="s">
        <v>162</v>
      </c>
      <c r="C36" s="170">
        <v>187544</v>
      </c>
      <c r="D36" s="170">
        <v>160075</v>
      </c>
      <c r="E36" s="170">
        <v>347619</v>
      </c>
      <c r="F36" s="170">
        <v>118620</v>
      </c>
      <c r="G36" s="170">
        <v>113365</v>
      </c>
      <c r="H36" s="170">
        <v>231985</v>
      </c>
      <c r="I36" s="170">
        <v>23024</v>
      </c>
      <c r="J36" s="170">
        <v>14710</v>
      </c>
      <c r="K36" s="170">
        <v>37734</v>
      </c>
      <c r="L36" s="169">
        <v>141644</v>
      </c>
      <c r="M36" s="169">
        <v>128075</v>
      </c>
      <c r="N36" s="170">
        <v>269719</v>
      </c>
      <c r="O36" s="314">
        <v>75.525743292240747</v>
      </c>
      <c r="P36" s="314">
        <v>80.009370607527714</v>
      </c>
      <c r="Q36" s="314">
        <v>77.590407889096966</v>
      </c>
      <c r="R36" s="170">
        <v>141644</v>
      </c>
      <c r="S36" s="170">
        <v>128075</v>
      </c>
      <c r="T36" s="170">
        <v>269719</v>
      </c>
      <c r="U36" s="170">
        <v>10665</v>
      </c>
      <c r="V36" s="170">
        <v>21045</v>
      </c>
      <c r="W36" s="170">
        <v>31710</v>
      </c>
      <c r="X36" s="170">
        <v>44766</v>
      </c>
      <c r="Y36" s="170">
        <v>48652</v>
      </c>
      <c r="Z36" s="170">
        <v>93418</v>
      </c>
      <c r="AA36" s="314">
        <v>7.5294400045183698</v>
      </c>
      <c r="AB36" s="314">
        <v>16.431778254928751</v>
      </c>
      <c r="AC36" s="314">
        <v>11.756680100400787</v>
      </c>
      <c r="AD36" s="314">
        <v>31.604586145547991</v>
      </c>
      <c r="AE36" s="314">
        <v>37.987116923677533</v>
      </c>
      <c r="AF36" s="314">
        <v>34.635305632899424</v>
      </c>
    </row>
    <row r="37" spans="1:32" ht="28.5" x14ac:dyDescent="0.25">
      <c r="A37" s="166">
        <v>28</v>
      </c>
      <c r="B37" s="27" t="s">
        <v>212</v>
      </c>
      <c r="C37" s="170">
        <v>597729</v>
      </c>
      <c r="D37" s="170">
        <v>380788</v>
      </c>
      <c r="E37" s="170">
        <v>978517</v>
      </c>
      <c r="F37" s="170">
        <v>440985</v>
      </c>
      <c r="G37" s="170">
        <v>280239</v>
      </c>
      <c r="H37" s="170">
        <v>721224</v>
      </c>
      <c r="I37" s="170">
        <v>17265</v>
      </c>
      <c r="J37" s="170">
        <v>12630</v>
      </c>
      <c r="K37" s="170">
        <v>29895</v>
      </c>
      <c r="L37" s="169">
        <v>458250</v>
      </c>
      <c r="M37" s="169">
        <v>292869</v>
      </c>
      <c r="N37" s="170">
        <v>751119</v>
      </c>
      <c r="O37" s="314">
        <v>76.665177697585364</v>
      </c>
      <c r="P37" s="314">
        <v>76.911299725831697</v>
      </c>
      <c r="Q37" s="314">
        <v>76.76095560935579</v>
      </c>
      <c r="R37" s="170">
        <v>458250</v>
      </c>
      <c r="S37" s="170">
        <v>292869</v>
      </c>
      <c r="T37" s="170">
        <v>751119</v>
      </c>
      <c r="U37" s="170">
        <v>23285</v>
      </c>
      <c r="V37" s="170">
        <v>14091</v>
      </c>
      <c r="W37" s="170">
        <v>37376</v>
      </c>
      <c r="X37" s="170">
        <v>79017</v>
      </c>
      <c r="Y37" s="170">
        <v>50240</v>
      </c>
      <c r="Z37" s="170">
        <v>129257</v>
      </c>
      <c r="AA37" s="314">
        <v>5.0812875068194217</v>
      </c>
      <c r="AB37" s="314">
        <v>4.8113661739549078</v>
      </c>
      <c r="AC37" s="314">
        <v>4.9760424113888746</v>
      </c>
      <c r="AD37" s="314">
        <v>17.243207855973814</v>
      </c>
      <c r="AE37" s="314">
        <v>17.1544274061099</v>
      </c>
      <c r="AF37" s="314">
        <v>17.208591448225913</v>
      </c>
    </row>
    <row r="38" spans="1:32" ht="28.5" x14ac:dyDescent="0.25">
      <c r="A38" s="166">
        <v>29</v>
      </c>
      <c r="B38" s="27" t="s">
        <v>274</v>
      </c>
      <c r="C38" s="170">
        <v>475279</v>
      </c>
      <c r="D38" s="170">
        <v>455365</v>
      </c>
      <c r="E38" s="170">
        <v>930644</v>
      </c>
      <c r="F38" s="170">
        <v>343523</v>
      </c>
      <c r="G38" s="170">
        <v>381612</v>
      </c>
      <c r="H38" s="170">
        <v>725135</v>
      </c>
      <c r="I38" s="170">
        <v>23856</v>
      </c>
      <c r="J38" s="170">
        <v>16964</v>
      </c>
      <c r="K38" s="170">
        <v>40820</v>
      </c>
      <c r="L38" s="167">
        <v>367379</v>
      </c>
      <c r="M38" s="167">
        <v>398576</v>
      </c>
      <c r="N38" s="170">
        <v>765955</v>
      </c>
      <c r="O38" s="171">
        <v>77.297545231327277</v>
      </c>
      <c r="P38" s="171">
        <v>87.528905383593383</v>
      </c>
      <c r="Q38" s="171">
        <v>82.303759547152296</v>
      </c>
      <c r="R38" s="168">
        <f>L38</f>
        <v>367379</v>
      </c>
      <c r="S38" s="168">
        <f>M38</f>
        <v>398576</v>
      </c>
      <c r="T38" s="168">
        <f>N38</f>
        <v>765955</v>
      </c>
      <c r="U38" s="173"/>
      <c r="V38" s="173"/>
      <c r="W38" s="173"/>
      <c r="X38" s="173"/>
      <c r="Y38" s="173"/>
      <c r="Z38" s="173"/>
      <c r="AA38" s="174"/>
      <c r="AB38" s="174"/>
      <c r="AC38" s="174"/>
      <c r="AD38" s="175"/>
      <c r="AE38" s="175"/>
      <c r="AF38" s="175"/>
    </row>
    <row r="39" spans="1:32" ht="28.5" x14ac:dyDescent="0.25">
      <c r="A39" s="166">
        <v>30</v>
      </c>
      <c r="B39" s="27" t="s">
        <v>301</v>
      </c>
      <c r="C39" s="170">
        <v>23179</v>
      </c>
      <c r="D39" s="170">
        <v>20333</v>
      </c>
      <c r="E39" s="170">
        <v>43512</v>
      </c>
      <c r="F39" s="170">
        <v>12153</v>
      </c>
      <c r="G39" s="170">
        <v>9791</v>
      </c>
      <c r="H39" s="170">
        <v>21944</v>
      </c>
      <c r="I39" s="176"/>
      <c r="J39" s="176"/>
      <c r="K39" s="176"/>
      <c r="L39" s="169">
        <v>12153</v>
      </c>
      <c r="M39" s="169">
        <v>9791</v>
      </c>
      <c r="N39" s="170">
        <v>21944</v>
      </c>
      <c r="O39" s="314">
        <v>52.431079856766907</v>
      </c>
      <c r="P39" s="314">
        <v>48.153248413908422</v>
      </c>
      <c r="Q39" s="314">
        <v>50.432064717778999</v>
      </c>
      <c r="R39" s="170">
        <v>12153</v>
      </c>
      <c r="S39" s="170">
        <v>9791</v>
      </c>
      <c r="T39" s="170">
        <v>21944</v>
      </c>
      <c r="U39" s="176"/>
      <c r="V39" s="176"/>
      <c r="W39" s="176"/>
      <c r="X39" s="170">
        <v>1243</v>
      </c>
      <c r="Y39" s="170">
        <v>798</v>
      </c>
      <c r="Z39" s="170">
        <v>2041</v>
      </c>
      <c r="AA39" s="215"/>
      <c r="AB39" s="215"/>
      <c r="AC39" s="215"/>
      <c r="AD39" s="314">
        <v>10.22792726075866</v>
      </c>
      <c r="AE39" s="314">
        <v>8.150342150954959</v>
      </c>
      <c r="AF39" s="314">
        <v>9.3009478672985786</v>
      </c>
    </row>
    <row r="40" spans="1:32" ht="27" x14ac:dyDescent="0.25">
      <c r="A40" s="166">
        <v>31</v>
      </c>
      <c r="B40" s="27" t="s">
        <v>306</v>
      </c>
      <c r="C40" s="170">
        <v>1922649</v>
      </c>
      <c r="D40" s="170">
        <v>1382924</v>
      </c>
      <c r="E40" s="170">
        <v>3305573</v>
      </c>
      <c r="F40" s="170">
        <v>1267375</v>
      </c>
      <c r="G40" s="170">
        <v>1072602</v>
      </c>
      <c r="H40" s="170">
        <v>2339977</v>
      </c>
      <c r="I40" s="170">
        <v>31662</v>
      </c>
      <c r="J40" s="170">
        <v>14062</v>
      </c>
      <c r="K40" s="170">
        <v>45724</v>
      </c>
      <c r="L40" s="169">
        <v>1299037</v>
      </c>
      <c r="M40" s="169">
        <v>1086664</v>
      </c>
      <c r="N40" s="170">
        <v>2385701</v>
      </c>
      <c r="O40" s="314">
        <v>67.564958554577572</v>
      </c>
      <c r="P40" s="314">
        <v>78.577275396189521</v>
      </c>
      <c r="Q40" s="314">
        <v>72.172086352351016</v>
      </c>
      <c r="R40" s="170">
        <v>1299037</v>
      </c>
      <c r="S40" s="170">
        <v>1086664</v>
      </c>
      <c r="T40" s="170">
        <v>2385701</v>
      </c>
      <c r="U40" s="176"/>
      <c r="V40" s="176"/>
      <c r="W40" s="176"/>
      <c r="X40" s="176"/>
      <c r="Y40" s="176"/>
      <c r="Z40" s="176"/>
      <c r="AA40" s="215"/>
      <c r="AB40" s="215"/>
      <c r="AC40" s="215">
        <v>0</v>
      </c>
      <c r="AD40" s="215"/>
      <c r="AE40" s="215"/>
      <c r="AF40" s="215">
        <v>0</v>
      </c>
    </row>
    <row r="41" spans="1:32" ht="28.5" x14ac:dyDescent="0.25">
      <c r="A41" s="166">
        <v>32</v>
      </c>
      <c r="B41" s="27" t="s">
        <v>276</v>
      </c>
      <c r="C41" s="170">
        <v>94951</v>
      </c>
      <c r="D41" s="170">
        <v>80025</v>
      </c>
      <c r="E41" s="170">
        <v>174976</v>
      </c>
      <c r="F41" s="170">
        <v>59398</v>
      </c>
      <c r="G41" s="170">
        <v>59845</v>
      </c>
      <c r="H41" s="170">
        <v>119243</v>
      </c>
      <c r="I41" s="176"/>
      <c r="J41" s="176"/>
      <c r="K41" s="176"/>
      <c r="L41" s="169">
        <v>59398</v>
      </c>
      <c r="M41" s="169">
        <v>59845</v>
      </c>
      <c r="N41" s="170">
        <v>119243</v>
      </c>
      <c r="O41" s="314">
        <v>62.556476498404443</v>
      </c>
      <c r="P41" s="314">
        <v>74.782880349890661</v>
      </c>
      <c r="Q41" s="314">
        <v>68.148203182150695</v>
      </c>
      <c r="R41" s="170">
        <v>59398</v>
      </c>
      <c r="S41" s="170">
        <v>59845</v>
      </c>
      <c r="T41" s="170">
        <v>119243</v>
      </c>
      <c r="U41" s="170">
        <v>1469</v>
      </c>
      <c r="V41" s="170">
        <v>1024</v>
      </c>
      <c r="W41" s="170">
        <v>2493</v>
      </c>
      <c r="X41" s="170">
        <v>8327</v>
      </c>
      <c r="Y41" s="170">
        <v>10706</v>
      </c>
      <c r="Z41" s="170">
        <v>19033</v>
      </c>
      <c r="AA41" s="314">
        <v>2.47314724401495</v>
      </c>
      <c r="AB41" s="314">
        <v>1.7110869746846018</v>
      </c>
      <c r="AC41" s="314">
        <v>2.0906887616044547</v>
      </c>
      <c r="AD41" s="314">
        <v>14.018990538401965</v>
      </c>
      <c r="AE41" s="314">
        <v>17.889547998997408</v>
      </c>
      <c r="AF41" s="314">
        <v>15.96152394689835</v>
      </c>
    </row>
    <row r="42" spans="1:32" ht="28.5" x14ac:dyDescent="0.25">
      <c r="A42" s="166">
        <v>33</v>
      </c>
      <c r="B42" s="27" t="s">
        <v>172</v>
      </c>
      <c r="C42" s="170">
        <v>465143</v>
      </c>
      <c r="D42" s="170">
        <v>489024</v>
      </c>
      <c r="E42" s="170">
        <v>954167</v>
      </c>
      <c r="F42" s="170">
        <v>386056</v>
      </c>
      <c r="G42" s="170">
        <v>361819</v>
      </c>
      <c r="H42" s="170">
        <v>747875</v>
      </c>
      <c r="I42" s="170">
        <v>17539</v>
      </c>
      <c r="J42" s="170">
        <v>19088</v>
      </c>
      <c r="K42" s="170">
        <v>36627</v>
      </c>
      <c r="L42" s="169">
        <v>403595</v>
      </c>
      <c r="M42" s="169">
        <v>380907</v>
      </c>
      <c r="N42" s="170">
        <v>784502</v>
      </c>
      <c r="O42" s="314">
        <v>86.767940181836551</v>
      </c>
      <c r="P42" s="314">
        <v>77.891269140164894</v>
      </c>
      <c r="Q42" s="314">
        <v>82.21852149571302</v>
      </c>
      <c r="R42" s="170">
        <v>403595</v>
      </c>
      <c r="S42" s="170">
        <v>380907</v>
      </c>
      <c r="T42" s="170">
        <v>784502</v>
      </c>
      <c r="U42" s="176"/>
      <c r="V42" s="176"/>
      <c r="W42" s="176"/>
      <c r="X42" s="176"/>
      <c r="Y42" s="176"/>
      <c r="Z42" s="176"/>
      <c r="AA42" s="215"/>
      <c r="AB42" s="215"/>
      <c r="AC42" s="215"/>
      <c r="AD42" s="215"/>
      <c r="AE42" s="215"/>
      <c r="AF42" s="215"/>
    </row>
    <row r="43" spans="1:32" ht="28.5" x14ac:dyDescent="0.25">
      <c r="A43" s="267">
        <v>34</v>
      </c>
      <c r="B43" s="80" t="s">
        <v>277</v>
      </c>
      <c r="C43" s="189">
        <v>17188</v>
      </c>
      <c r="D43" s="189">
        <v>29456</v>
      </c>
      <c r="E43" s="189">
        <v>46644</v>
      </c>
      <c r="F43" s="189">
        <v>14178</v>
      </c>
      <c r="G43" s="189">
        <v>20964</v>
      </c>
      <c r="H43" s="189">
        <v>35142</v>
      </c>
      <c r="I43" s="191"/>
      <c r="J43" s="191"/>
      <c r="K43" s="191"/>
      <c r="L43" s="188">
        <v>14178</v>
      </c>
      <c r="M43" s="188">
        <v>20964</v>
      </c>
      <c r="N43" s="189">
        <v>35142</v>
      </c>
      <c r="O43" s="321">
        <v>82.487782173609489</v>
      </c>
      <c r="P43" s="321">
        <v>71.170559478544277</v>
      </c>
      <c r="Q43" s="321">
        <v>75.340879855930027</v>
      </c>
      <c r="R43" s="189">
        <v>14178</v>
      </c>
      <c r="S43" s="189">
        <v>20964</v>
      </c>
      <c r="T43" s="189">
        <v>35142</v>
      </c>
      <c r="U43" s="189">
        <v>470</v>
      </c>
      <c r="V43" s="189">
        <v>372</v>
      </c>
      <c r="W43" s="189">
        <v>842</v>
      </c>
      <c r="X43" s="189">
        <v>1971</v>
      </c>
      <c r="Y43" s="189">
        <v>1594</v>
      </c>
      <c r="Z43" s="189">
        <v>3565</v>
      </c>
      <c r="AA43" s="321">
        <v>3.3149950627733107</v>
      </c>
      <c r="AB43" s="321">
        <v>1.7744705208929594</v>
      </c>
      <c r="AC43" s="321">
        <v>2.3959933982129646</v>
      </c>
      <c r="AD43" s="321">
        <v>13.901819720694032</v>
      </c>
      <c r="AE43" s="321">
        <v>7.6035107803854229</v>
      </c>
      <c r="AF43" s="321">
        <v>10.144556371293609</v>
      </c>
    </row>
    <row r="44" spans="1:32" x14ac:dyDescent="0.25">
      <c r="A44" s="527" t="s">
        <v>256</v>
      </c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27"/>
      <c r="U44" s="527"/>
      <c r="V44" s="527"/>
      <c r="W44" s="527"/>
      <c r="X44" s="527"/>
      <c r="Y44" s="527"/>
      <c r="Z44" s="527"/>
      <c r="AA44" s="527"/>
      <c r="AB44" s="527"/>
      <c r="AC44" s="527"/>
      <c r="AD44" s="527"/>
      <c r="AE44" s="527"/>
      <c r="AF44" s="527"/>
    </row>
    <row r="45" spans="1:32" ht="28.5" x14ac:dyDescent="0.25">
      <c r="A45" s="166">
        <v>1</v>
      </c>
      <c r="B45" s="43" t="s">
        <v>249</v>
      </c>
      <c r="C45" s="167">
        <v>122233</v>
      </c>
      <c r="D45" s="167">
        <v>54799</v>
      </c>
      <c r="E45" s="168">
        <v>177032</v>
      </c>
      <c r="F45" s="167">
        <v>87159</v>
      </c>
      <c r="G45" s="167">
        <v>39853</v>
      </c>
      <c r="H45" s="168">
        <v>127012</v>
      </c>
      <c r="I45" s="167"/>
      <c r="J45" s="167"/>
      <c r="K45" s="168"/>
      <c r="L45" s="167">
        <v>87159</v>
      </c>
      <c r="M45" s="167">
        <v>39853</v>
      </c>
      <c r="N45" s="168">
        <v>127012</v>
      </c>
      <c r="O45" s="167">
        <f>+L45/C45%</f>
        <v>71.305621231582307</v>
      </c>
      <c r="P45" s="167">
        <f t="shared" ref="P45:Q45" si="0">+M45/D45%</f>
        <v>72.725779667512185</v>
      </c>
      <c r="Q45" s="167">
        <f t="shared" si="0"/>
        <v>71.745221202946368</v>
      </c>
      <c r="R45" s="172">
        <v>87159</v>
      </c>
      <c r="S45" s="172">
        <v>39853</v>
      </c>
      <c r="T45" s="172">
        <v>127012</v>
      </c>
      <c r="U45" s="172">
        <v>327</v>
      </c>
      <c r="V45" s="172">
        <v>239</v>
      </c>
      <c r="W45" s="172">
        <v>566</v>
      </c>
      <c r="X45" s="172">
        <v>11768</v>
      </c>
      <c r="Y45" s="172">
        <v>5599</v>
      </c>
      <c r="Z45" s="172">
        <v>17367</v>
      </c>
      <c r="AA45" s="177">
        <v>0.37517640174852857</v>
      </c>
      <c r="AB45" s="177">
        <v>0.59970391187614491</v>
      </c>
      <c r="AC45" s="177">
        <v>0.44562718483292924</v>
      </c>
      <c r="AD45" s="177">
        <v>13.501761149164171</v>
      </c>
      <c r="AE45" s="177">
        <v>14.049130554788849</v>
      </c>
      <c r="AF45" s="177">
        <v>13.673511164299438</v>
      </c>
    </row>
    <row r="46" spans="1:32" x14ac:dyDescent="0.25">
      <c r="A46" s="266">
        <v>2</v>
      </c>
      <c r="B46" s="336" t="s">
        <v>250</v>
      </c>
      <c r="C46" s="240">
        <v>62866</v>
      </c>
      <c r="D46" s="240">
        <v>29357</v>
      </c>
      <c r="E46" s="32">
        <v>92223</v>
      </c>
      <c r="F46" s="240">
        <v>46500</v>
      </c>
      <c r="G46" s="240">
        <v>23080</v>
      </c>
      <c r="H46" s="32">
        <v>69580</v>
      </c>
      <c r="I46" s="82"/>
      <c r="J46" s="82"/>
      <c r="K46" s="32"/>
      <c r="L46" s="240">
        <v>46500</v>
      </c>
      <c r="M46" s="240">
        <v>23080</v>
      </c>
      <c r="N46" s="32">
        <v>69580</v>
      </c>
      <c r="O46" s="167">
        <f t="shared" ref="O46:Q51" si="1">+L46/C46%</f>
        <v>73.966850125664109</v>
      </c>
      <c r="P46" s="167">
        <f t="shared" ref="P46:P50" si="2">+M46/D46%</f>
        <v>78.618387437408458</v>
      </c>
      <c r="Q46" s="167">
        <f t="shared" ref="Q46:Q50" si="3">+N46/E46%</f>
        <v>75.447556466391248</v>
      </c>
      <c r="R46" s="32">
        <v>46500</v>
      </c>
      <c r="S46" s="32">
        <v>23080</v>
      </c>
      <c r="T46" s="32">
        <v>69580</v>
      </c>
      <c r="U46" s="32">
        <v>108</v>
      </c>
      <c r="V46" s="32">
        <v>83</v>
      </c>
      <c r="W46" s="32">
        <v>191</v>
      </c>
      <c r="X46" s="32">
        <v>6522</v>
      </c>
      <c r="Y46" s="32">
        <v>4555</v>
      </c>
      <c r="Z46" s="32">
        <v>11077</v>
      </c>
      <c r="AA46" s="181">
        <v>0.23225806451612904</v>
      </c>
      <c r="AB46" s="181">
        <v>0.35961871750433272</v>
      </c>
      <c r="AC46" s="181">
        <v>0.27450416786432885</v>
      </c>
      <c r="AD46" s="259">
        <v>14.025806451612903</v>
      </c>
      <c r="AE46" s="259">
        <v>19.735701906412476</v>
      </c>
      <c r="AF46" s="259">
        <v>15.919804541534925</v>
      </c>
    </row>
    <row r="47" spans="1:32" x14ac:dyDescent="0.25">
      <c r="A47" s="166">
        <v>3</v>
      </c>
      <c r="B47" s="45" t="s">
        <v>251</v>
      </c>
      <c r="C47" s="167">
        <v>28219</v>
      </c>
      <c r="D47" s="167">
        <v>34996</v>
      </c>
      <c r="E47" s="168">
        <v>63215</v>
      </c>
      <c r="F47" s="167">
        <v>13369</v>
      </c>
      <c r="G47" s="167">
        <v>14907</v>
      </c>
      <c r="H47" s="168">
        <v>28276</v>
      </c>
      <c r="I47" s="167"/>
      <c r="J47" s="167"/>
      <c r="K47" s="168"/>
      <c r="L47" s="167">
        <v>13369</v>
      </c>
      <c r="M47" s="167">
        <v>14907</v>
      </c>
      <c r="N47" s="168">
        <v>28276</v>
      </c>
      <c r="O47" s="167">
        <f t="shared" si="1"/>
        <v>47.375881498281302</v>
      </c>
      <c r="P47" s="167">
        <f t="shared" si="2"/>
        <v>42.596296719625101</v>
      </c>
      <c r="Q47" s="167">
        <f t="shared" si="3"/>
        <v>44.72989005773946</v>
      </c>
      <c r="R47" s="172">
        <v>13369</v>
      </c>
      <c r="S47" s="172">
        <v>14907</v>
      </c>
      <c r="T47" s="172">
        <v>28276</v>
      </c>
      <c r="U47" s="172">
        <v>9</v>
      </c>
      <c r="V47" s="172">
        <v>8</v>
      </c>
      <c r="W47" s="172">
        <v>17</v>
      </c>
      <c r="X47" s="172">
        <v>469</v>
      </c>
      <c r="Y47" s="172">
        <v>411</v>
      </c>
      <c r="Z47" s="172">
        <v>880</v>
      </c>
      <c r="AA47" s="177">
        <v>6.7319919216096938E-2</v>
      </c>
      <c r="AB47" s="177">
        <v>5.3666062923458782E-2</v>
      </c>
      <c r="AC47" s="177">
        <v>6.0121657943131984E-2</v>
      </c>
      <c r="AD47" s="177">
        <v>3.5081157902610518</v>
      </c>
      <c r="AE47" s="177">
        <v>2.757093982692695</v>
      </c>
      <c r="AF47" s="177">
        <v>3.1121799405856558</v>
      </c>
    </row>
    <row r="48" spans="1:32" ht="28.5" x14ac:dyDescent="0.25">
      <c r="A48" s="166">
        <v>4</v>
      </c>
      <c r="B48" s="45" t="s">
        <v>252</v>
      </c>
      <c r="C48" s="167">
        <v>44594</v>
      </c>
      <c r="D48" s="167">
        <v>31126</v>
      </c>
      <c r="E48" s="168">
        <v>75720</v>
      </c>
      <c r="F48" s="167">
        <v>21962</v>
      </c>
      <c r="G48" s="167">
        <v>15261</v>
      </c>
      <c r="H48" s="168">
        <v>37223</v>
      </c>
      <c r="I48" s="167"/>
      <c r="J48" s="167"/>
      <c r="K48" s="168"/>
      <c r="L48" s="167">
        <v>21962</v>
      </c>
      <c r="M48" s="167">
        <v>15261</v>
      </c>
      <c r="N48" s="168">
        <v>37223</v>
      </c>
      <c r="O48" s="167">
        <f t="shared" si="1"/>
        <v>49.248777862492709</v>
      </c>
      <c r="P48" s="167">
        <f t="shared" si="2"/>
        <v>49.029750048191225</v>
      </c>
      <c r="Q48" s="167">
        <f t="shared" si="3"/>
        <v>49.158742736397251</v>
      </c>
      <c r="R48" s="172">
        <v>21962</v>
      </c>
      <c r="S48" s="172">
        <v>15261</v>
      </c>
      <c r="T48" s="172">
        <v>37223</v>
      </c>
      <c r="U48" s="173"/>
      <c r="V48" s="173"/>
      <c r="W48" s="173">
        <v>0</v>
      </c>
      <c r="X48" s="172">
        <v>2206</v>
      </c>
      <c r="Y48" s="172">
        <v>1861</v>
      </c>
      <c r="Z48" s="172">
        <v>4067</v>
      </c>
      <c r="AA48" s="174">
        <v>0</v>
      </c>
      <c r="AB48" s="174">
        <v>0</v>
      </c>
      <c r="AC48" s="174">
        <v>0</v>
      </c>
      <c r="AD48" s="177">
        <v>10.044622529824242</v>
      </c>
      <c r="AE48" s="177">
        <v>12.194482668239301</v>
      </c>
      <c r="AF48" s="177">
        <v>10.926040351395642</v>
      </c>
    </row>
    <row r="49" spans="1:32" ht="28.5" x14ac:dyDescent="0.25">
      <c r="A49" s="166">
        <v>5</v>
      </c>
      <c r="B49" s="43" t="s">
        <v>253</v>
      </c>
      <c r="C49" s="167">
        <v>30545</v>
      </c>
      <c r="D49" s="167">
        <v>28715</v>
      </c>
      <c r="E49" s="168">
        <v>59260</v>
      </c>
      <c r="F49" s="167">
        <v>9744</v>
      </c>
      <c r="G49" s="167">
        <v>10609</v>
      </c>
      <c r="H49" s="168">
        <v>20353</v>
      </c>
      <c r="I49" s="167"/>
      <c r="J49" s="167"/>
      <c r="K49" s="168"/>
      <c r="L49" s="167">
        <v>9744</v>
      </c>
      <c r="M49" s="167">
        <v>10609</v>
      </c>
      <c r="N49" s="168">
        <v>20353</v>
      </c>
      <c r="O49" s="167">
        <f t="shared" si="1"/>
        <v>31.900474709445081</v>
      </c>
      <c r="P49" s="167">
        <f t="shared" si="2"/>
        <v>36.945847118230894</v>
      </c>
      <c r="Q49" s="167">
        <f t="shared" si="3"/>
        <v>34.345258184272694</v>
      </c>
      <c r="R49" s="172">
        <v>9744</v>
      </c>
      <c r="S49" s="172">
        <v>10609</v>
      </c>
      <c r="T49" s="172">
        <v>20353</v>
      </c>
      <c r="U49" s="173"/>
      <c r="V49" s="173"/>
      <c r="W49" s="173">
        <v>0</v>
      </c>
      <c r="X49" s="173"/>
      <c r="Y49" s="173"/>
      <c r="Z49" s="173">
        <v>0</v>
      </c>
      <c r="AA49" s="174">
        <v>0</v>
      </c>
      <c r="AB49" s="174">
        <v>0</v>
      </c>
      <c r="AC49" s="174">
        <v>0</v>
      </c>
      <c r="AD49" s="174">
        <v>0</v>
      </c>
      <c r="AE49" s="174">
        <v>0</v>
      </c>
      <c r="AF49" s="174">
        <v>0</v>
      </c>
    </row>
    <row r="50" spans="1:32" ht="28.5" x14ac:dyDescent="0.25">
      <c r="A50" s="267">
        <v>6</v>
      </c>
      <c r="B50" s="44" t="s">
        <v>296</v>
      </c>
      <c r="C50" s="208">
        <v>30439</v>
      </c>
      <c r="D50" s="208">
        <v>40073</v>
      </c>
      <c r="E50" s="168">
        <v>70512</v>
      </c>
      <c r="F50" s="208">
        <v>8952</v>
      </c>
      <c r="G50" s="208">
        <v>13585</v>
      </c>
      <c r="H50" s="209">
        <v>22537</v>
      </c>
      <c r="I50" s="208"/>
      <c r="J50" s="208"/>
      <c r="K50" s="209"/>
      <c r="L50" s="208">
        <v>8952</v>
      </c>
      <c r="M50" s="208">
        <v>13585</v>
      </c>
      <c r="N50" s="209">
        <v>22537</v>
      </c>
      <c r="O50" s="167">
        <f t="shared" si="1"/>
        <v>29.409638950031212</v>
      </c>
      <c r="P50" s="167">
        <f t="shared" si="2"/>
        <v>33.900631347790281</v>
      </c>
      <c r="Q50" s="167">
        <f t="shared" si="3"/>
        <v>31.961935557068301</v>
      </c>
      <c r="R50" s="193">
        <v>8952</v>
      </c>
      <c r="S50" s="193">
        <v>13585</v>
      </c>
      <c r="T50" s="193">
        <v>22537</v>
      </c>
      <c r="U50" s="337"/>
      <c r="V50" s="337"/>
      <c r="W50" s="337">
        <v>0</v>
      </c>
      <c r="X50" s="338">
        <v>809</v>
      </c>
      <c r="Y50" s="338">
        <v>1289</v>
      </c>
      <c r="Z50" s="338">
        <v>2098</v>
      </c>
      <c r="AA50" s="339">
        <v>0</v>
      </c>
      <c r="AB50" s="339">
        <v>0</v>
      </c>
      <c r="AC50" s="339">
        <v>0</v>
      </c>
      <c r="AD50" s="340">
        <v>9.0370866845397675</v>
      </c>
      <c r="AE50" s="340">
        <v>9.4884063305115944</v>
      </c>
      <c r="AF50" s="340">
        <v>9.3091360873230684</v>
      </c>
    </row>
    <row r="51" spans="1:32" x14ac:dyDescent="0.25">
      <c r="A51" s="526" t="s">
        <v>3</v>
      </c>
      <c r="B51" s="526"/>
      <c r="C51" s="217">
        <f>SUM(C8:C50)</f>
        <v>10118563</v>
      </c>
      <c r="D51" s="217">
        <f t="shared" ref="D51:N51" si="4">SUM(D8:D50)</f>
        <v>8037937</v>
      </c>
      <c r="E51" s="217">
        <f t="shared" si="4"/>
        <v>18161271</v>
      </c>
      <c r="F51" s="217">
        <f t="shared" si="4"/>
        <v>7026164</v>
      </c>
      <c r="G51" s="217">
        <f t="shared" si="4"/>
        <v>5880692</v>
      </c>
      <c r="H51" s="217">
        <f t="shared" si="4"/>
        <v>12909068</v>
      </c>
      <c r="I51" s="217">
        <f t="shared" si="4"/>
        <v>345082</v>
      </c>
      <c r="J51" s="217">
        <f t="shared" si="4"/>
        <v>250456</v>
      </c>
      <c r="K51" s="217">
        <f t="shared" si="4"/>
        <v>595538</v>
      </c>
      <c r="L51" s="217">
        <f t="shared" si="4"/>
        <v>7371246</v>
      </c>
      <c r="M51" s="217">
        <f t="shared" si="4"/>
        <v>6131148</v>
      </c>
      <c r="N51" s="217">
        <f t="shared" si="4"/>
        <v>13504606</v>
      </c>
      <c r="O51" s="218">
        <f t="shared" si="1"/>
        <v>72.848743443115382</v>
      </c>
      <c r="P51" s="218">
        <f t="shared" si="1"/>
        <v>76.277631934661841</v>
      </c>
      <c r="Q51" s="218">
        <f t="shared" si="1"/>
        <v>74.359366147886902</v>
      </c>
      <c r="R51" s="217">
        <f t="shared" ref="R51:Z51" si="5">SUM(R8:R50)</f>
        <v>7371246</v>
      </c>
      <c r="S51" s="217">
        <f t="shared" si="5"/>
        <v>6131148</v>
      </c>
      <c r="T51" s="217">
        <f t="shared" si="5"/>
        <v>13504606</v>
      </c>
      <c r="U51" s="217">
        <f t="shared" si="5"/>
        <v>512898</v>
      </c>
      <c r="V51" s="217">
        <f t="shared" si="5"/>
        <v>503748</v>
      </c>
      <c r="W51" s="217">
        <f t="shared" si="5"/>
        <v>1016646</v>
      </c>
      <c r="X51" s="217">
        <f t="shared" si="5"/>
        <v>1173462</v>
      </c>
      <c r="Y51" s="217">
        <f t="shared" si="5"/>
        <v>1024658</v>
      </c>
      <c r="Z51" s="217">
        <f t="shared" si="5"/>
        <v>2198134</v>
      </c>
      <c r="AA51" s="219">
        <f>+U51/R51%</f>
        <v>6.9580909387639478</v>
      </c>
      <c r="AB51" s="219">
        <f t="shared" ref="AB51:AC51" si="6">+V51/S51%</f>
        <v>8.2162100800698337</v>
      </c>
      <c r="AC51" s="219">
        <f t="shared" si="6"/>
        <v>7.5281426203770776</v>
      </c>
      <c r="AD51" s="219">
        <f>+X51/R51%</f>
        <v>15.919452423647236</v>
      </c>
      <c r="AE51" s="219">
        <f t="shared" ref="AE51:AF51" si="7">+Y51/S51%</f>
        <v>16.712335112445498</v>
      </c>
      <c r="AF51" s="219">
        <f t="shared" si="7"/>
        <v>16.276920629894718</v>
      </c>
    </row>
    <row r="52" spans="1:32" x14ac:dyDescent="0.25">
      <c r="C52" s="562" t="s">
        <v>278</v>
      </c>
      <c r="D52" s="562"/>
      <c r="E52" s="562"/>
      <c r="F52" s="562"/>
      <c r="G52" s="562"/>
      <c r="H52" s="562"/>
      <c r="I52" s="562"/>
      <c r="J52" s="562"/>
      <c r="K52" s="562"/>
      <c r="L52" s="562"/>
      <c r="M52" s="562"/>
      <c r="N52" s="562"/>
      <c r="O52" s="562"/>
      <c r="P52" s="562"/>
      <c r="Q52" s="562"/>
      <c r="R52" s="562" t="s">
        <v>278</v>
      </c>
      <c r="S52" s="562"/>
      <c r="T52" s="562"/>
      <c r="U52" s="562"/>
      <c r="V52" s="562"/>
      <c r="W52" s="562"/>
      <c r="X52" s="562"/>
      <c r="Y52" s="562"/>
      <c r="Z52" s="562"/>
      <c r="AA52" s="562"/>
      <c r="AB52" s="562"/>
      <c r="AC52" s="562"/>
      <c r="AD52" s="562"/>
      <c r="AE52" s="562"/>
      <c r="AF52" s="562"/>
    </row>
    <row r="53" spans="1:32" x14ac:dyDescent="0.25">
      <c r="C53" s="342" t="s">
        <v>228</v>
      </c>
      <c r="D53" s="342"/>
      <c r="E53" s="342"/>
      <c r="F53" s="342"/>
      <c r="G53" s="342"/>
      <c r="H53" s="342"/>
      <c r="I53" s="342"/>
      <c r="J53" s="342"/>
      <c r="K53" s="342"/>
      <c r="L53" s="342"/>
      <c r="M53" s="342"/>
      <c r="N53" s="342"/>
      <c r="O53" s="342"/>
      <c r="P53" s="342"/>
      <c r="Q53" s="342"/>
      <c r="R53" s="342" t="s">
        <v>228</v>
      </c>
      <c r="S53" s="342"/>
      <c r="T53" s="342"/>
      <c r="U53" s="342"/>
      <c r="V53" s="342"/>
      <c r="W53" s="342"/>
      <c r="X53" s="342"/>
      <c r="Y53" s="342"/>
      <c r="Z53" s="342"/>
      <c r="AA53" s="342"/>
      <c r="AB53" s="342"/>
      <c r="AC53" s="342"/>
      <c r="AD53" s="342"/>
      <c r="AE53" s="342"/>
      <c r="AF53" s="342"/>
    </row>
    <row r="54" spans="1:32" x14ac:dyDescent="0.25">
      <c r="C54" s="561" t="s">
        <v>307</v>
      </c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O54" s="561"/>
      <c r="P54" s="561"/>
      <c r="Q54" s="561"/>
      <c r="R54" s="561" t="s">
        <v>307</v>
      </c>
      <c r="S54" s="561"/>
      <c r="T54" s="561"/>
      <c r="U54" s="561"/>
      <c r="V54" s="561"/>
      <c r="W54" s="561"/>
      <c r="X54" s="561"/>
      <c r="Y54" s="561"/>
      <c r="Z54" s="561"/>
      <c r="AA54" s="561"/>
      <c r="AB54" s="561"/>
      <c r="AC54" s="561"/>
      <c r="AD54" s="561"/>
      <c r="AE54" s="561"/>
      <c r="AF54" s="561"/>
    </row>
    <row r="55" spans="1:32" x14ac:dyDescent="0.25">
      <c r="C55" s="345" t="s">
        <v>313</v>
      </c>
      <c r="R55" s="345" t="s">
        <v>313</v>
      </c>
    </row>
    <row r="56" spans="1:32" x14ac:dyDescent="0.25">
      <c r="C56" s="368" t="s">
        <v>332</v>
      </c>
      <c r="D56" s="368"/>
      <c r="E56" s="368"/>
      <c r="F56" s="369" t="s">
        <v>333</v>
      </c>
      <c r="G56" s="368"/>
      <c r="H56" s="368"/>
      <c r="I56" s="368"/>
      <c r="R56" s="368" t="s">
        <v>332</v>
      </c>
      <c r="S56" s="368"/>
      <c r="T56" s="368"/>
      <c r="U56" s="369" t="s">
        <v>333</v>
      </c>
      <c r="V56" s="368"/>
      <c r="W56" s="368"/>
      <c r="X56" s="368"/>
    </row>
  </sheetData>
  <mergeCells count="44">
    <mergeCell ref="A3:A6"/>
    <mergeCell ref="B3:B6"/>
    <mergeCell ref="C3:N3"/>
    <mergeCell ref="C2:Q2"/>
    <mergeCell ref="C1:Q1"/>
    <mergeCell ref="C4:E5"/>
    <mergeCell ref="F4:N4"/>
    <mergeCell ref="F5:H5"/>
    <mergeCell ref="I5:K5"/>
    <mergeCell ref="L5:N5"/>
    <mergeCell ref="R3:T5"/>
    <mergeCell ref="U3:Z4"/>
    <mergeCell ref="AA3:AF4"/>
    <mergeCell ref="AD5:AF5"/>
    <mergeCell ref="O3:Q5"/>
    <mergeCell ref="U5:W5"/>
    <mergeCell ref="X5:Z5"/>
    <mergeCell ref="AA5:AC5"/>
    <mergeCell ref="A11:B11"/>
    <mergeCell ref="C11:Q11"/>
    <mergeCell ref="R8:AF8"/>
    <mergeCell ref="A8:B8"/>
    <mergeCell ref="C8:Q8"/>
    <mergeCell ref="K44:L44"/>
    <mergeCell ref="A44:B44"/>
    <mergeCell ref="C52:Q52"/>
    <mergeCell ref="C54:Q54"/>
    <mergeCell ref="R52:AF52"/>
    <mergeCell ref="R54:AF54"/>
    <mergeCell ref="A51:B51"/>
    <mergeCell ref="C44:D44"/>
    <mergeCell ref="E44:F44"/>
    <mergeCell ref="G44:H44"/>
    <mergeCell ref="I44:J44"/>
    <mergeCell ref="Y44:Z44"/>
    <mergeCell ref="AA44:AB44"/>
    <mergeCell ref="AC44:AD44"/>
    <mergeCell ref="AE44:AF44"/>
    <mergeCell ref="M44:N44"/>
    <mergeCell ref="O44:P44"/>
    <mergeCell ref="Q44:R44"/>
    <mergeCell ref="S44:T44"/>
    <mergeCell ref="U44:V44"/>
    <mergeCell ref="W44:X44"/>
  </mergeCells>
  <hyperlinks>
    <hyperlink ref="F56" r:id="rId1" xr:uid="{00000000-0004-0000-0D00-000000000000}"/>
    <hyperlink ref="U56" r:id="rId2" xr:uid="{00000000-0004-0000-0D00-000001000000}"/>
  </hyperlinks>
  <pageMargins left="0.70866141732283472" right="0.70866141732283472" top="0.74803149606299213" bottom="0.74803149606299213" header="0.31496062992125984" footer="0.31496062992125984"/>
  <pageSetup paperSize="9" scale="67" firstPageNumber="85" orientation="landscape" useFirstPageNumber="1" r:id="rId3"/>
  <headerFooter>
    <oddFooter>Page &amp;P</oddFooter>
  </headerFooter>
  <rowBreaks count="1" manualBreakCount="1">
    <brk id="34" max="16383" man="1"/>
  </rowBreaks>
  <colBreaks count="1" manualBreakCount="1">
    <brk id="1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O18"/>
  <sheetViews>
    <sheetView view="pageBreakPreview" zoomScale="85" zoomScaleNormal="73" zoomScaleSheetLayoutView="85" workbookViewId="0">
      <selection activeCell="D9" sqref="D9:BN18"/>
    </sheetView>
  </sheetViews>
  <sheetFormatPr defaultRowHeight="15.75" x14ac:dyDescent="0.25"/>
  <cols>
    <col min="1" max="1" width="6.42578125" style="437" customWidth="1"/>
    <col min="2" max="2" width="14.5703125" style="437" bestFit="1" customWidth="1"/>
    <col min="3" max="3" width="20" style="437" customWidth="1"/>
    <col min="4" max="14" width="9.140625" style="437"/>
    <col min="15" max="15" width="8.5703125" style="437" bestFit="1" customWidth="1"/>
    <col min="16" max="24" width="12.7109375" style="437" customWidth="1"/>
    <col min="25" max="36" width="9.140625" style="437"/>
    <col min="37" max="45" width="12.7109375" style="437" customWidth="1"/>
    <col min="46" max="57" width="9.140625" style="437"/>
    <col min="58" max="66" width="12.7109375" style="437" customWidth="1"/>
    <col min="67" max="16384" width="9.140625" style="437"/>
  </cols>
  <sheetData>
    <row r="1" spans="1:67" ht="18" customHeight="1" x14ac:dyDescent="0.25">
      <c r="A1" s="592" t="s">
        <v>192</v>
      </c>
      <c r="B1" s="592" t="s">
        <v>356</v>
      </c>
      <c r="C1" s="592" t="s">
        <v>42</v>
      </c>
      <c r="D1" s="571" t="s">
        <v>219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3"/>
      <c r="P1" s="571" t="s">
        <v>219</v>
      </c>
      <c r="Q1" s="572"/>
      <c r="R1" s="572"/>
      <c r="S1" s="572"/>
      <c r="T1" s="572"/>
      <c r="U1" s="572"/>
      <c r="V1" s="572"/>
      <c r="W1" s="572"/>
      <c r="X1" s="573"/>
      <c r="Y1" s="571" t="s">
        <v>220</v>
      </c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3"/>
      <c r="AK1" s="571" t="s">
        <v>220</v>
      </c>
      <c r="AL1" s="572"/>
      <c r="AM1" s="572"/>
      <c r="AN1" s="572"/>
      <c r="AO1" s="572"/>
      <c r="AP1" s="572"/>
      <c r="AQ1" s="572"/>
      <c r="AR1" s="572"/>
      <c r="AS1" s="573"/>
      <c r="AT1" s="571" t="s">
        <v>221</v>
      </c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3"/>
      <c r="BF1" s="571" t="s">
        <v>221</v>
      </c>
      <c r="BG1" s="572"/>
      <c r="BH1" s="572"/>
      <c r="BI1" s="572"/>
      <c r="BJ1" s="572"/>
      <c r="BK1" s="572"/>
      <c r="BL1" s="572"/>
      <c r="BM1" s="572"/>
      <c r="BN1" s="573"/>
    </row>
    <row r="2" spans="1:67" ht="15" customHeight="1" x14ac:dyDescent="0.25">
      <c r="A2" s="593"/>
      <c r="B2" s="593"/>
      <c r="C2" s="593"/>
      <c r="D2" s="574" t="s">
        <v>389</v>
      </c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6"/>
      <c r="P2" s="571" t="s">
        <v>389</v>
      </c>
      <c r="Q2" s="572"/>
      <c r="R2" s="572"/>
      <c r="S2" s="572"/>
      <c r="T2" s="572"/>
      <c r="U2" s="572"/>
      <c r="V2" s="572"/>
      <c r="W2" s="572"/>
      <c r="X2" s="573"/>
      <c r="Y2" s="574" t="s">
        <v>389</v>
      </c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6"/>
      <c r="AK2" s="571" t="s">
        <v>389</v>
      </c>
      <c r="AL2" s="572"/>
      <c r="AM2" s="572"/>
      <c r="AN2" s="572"/>
      <c r="AO2" s="572"/>
      <c r="AP2" s="572"/>
      <c r="AQ2" s="572"/>
      <c r="AR2" s="572"/>
      <c r="AS2" s="573"/>
      <c r="AT2" s="574" t="s">
        <v>389</v>
      </c>
      <c r="AU2" s="575"/>
      <c r="AV2" s="575"/>
      <c r="AW2" s="575"/>
      <c r="AX2" s="575"/>
      <c r="AY2" s="575"/>
      <c r="AZ2" s="575"/>
      <c r="BA2" s="575"/>
      <c r="BB2" s="575"/>
      <c r="BC2" s="575"/>
      <c r="BD2" s="575"/>
      <c r="BE2" s="576"/>
      <c r="BF2" s="571" t="s">
        <v>389</v>
      </c>
      <c r="BG2" s="572"/>
      <c r="BH2" s="572"/>
      <c r="BI2" s="572"/>
      <c r="BJ2" s="572"/>
      <c r="BK2" s="572"/>
      <c r="BL2" s="572"/>
      <c r="BM2" s="572"/>
      <c r="BN2" s="573"/>
    </row>
    <row r="3" spans="1:67" ht="15" customHeight="1" x14ac:dyDescent="0.25">
      <c r="A3" s="593"/>
      <c r="B3" s="593"/>
      <c r="C3" s="593"/>
      <c r="D3" s="574" t="s">
        <v>412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6"/>
      <c r="P3" s="595" t="s">
        <v>413</v>
      </c>
      <c r="Q3" s="596"/>
      <c r="R3" s="596"/>
      <c r="S3" s="596"/>
      <c r="T3" s="596"/>
      <c r="U3" s="596"/>
      <c r="V3" s="596"/>
      <c r="W3" s="596"/>
      <c r="X3" s="597"/>
      <c r="Y3" s="574" t="s">
        <v>414</v>
      </c>
      <c r="Z3" s="575"/>
      <c r="AA3" s="575"/>
      <c r="AB3" s="575"/>
      <c r="AC3" s="575"/>
      <c r="AD3" s="575"/>
      <c r="AE3" s="575"/>
      <c r="AF3" s="575"/>
      <c r="AG3" s="575"/>
      <c r="AH3" s="575"/>
      <c r="AI3" s="575"/>
      <c r="AJ3" s="576"/>
      <c r="AK3" s="595" t="s">
        <v>415</v>
      </c>
      <c r="AL3" s="596"/>
      <c r="AM3" s="596"/>
      <c r="AN3" s="596"/>
      <c r="AO3" s="596"/>
      <c r="AP3" s="596"/>
      <c r="AQ3" s="596"/>
      <c r="AR3" s="596"/>
      <c r="AS3" s="597"/>
      <c r="AT3" s="574" t="s">
        <v>416</v>
      </c>
      <c r="AU3" s="575"/>
      <c r="AV3" s="575"/>
      <c r="AW3" s="575"/>
      <c r="AX3" s="575"/>
      <c r="AY3" s="575"/>
      <c r="AZ3" s="575"/>
      <c r="BA3" s="575"/>
      <c r="BB3" s="575"/>
      <c r="BC3" s="575"/>
      <c r="BD3" s="575"/>
      <c r="BE3" s="576"/>
      <c r="BF3" s="595" t="s">
        <v>417</v>
      </c>
      <c r="BG3" s="596"/>
      <c r="BH3" s="596"/>
      <c r="BI3" s="596"/>
      <c r="BJ3" s="596"/>
      <c r="BK3" s="596"/>
      <c r="BL3" s="596"/>
      <c r="BM3" s="596"/>
      <c r="BN3" s="597"/>
    </row>
    <row r="4" spans="1:67" ht="15.75" customHeight="1" x14ac:dyDescent="0.25">
      <c r="A4" s="593"/>
      <c r="B4" s="593"/>
      <c r="C4" s="593"/>
      <c r="D4" s="574" t="s">
        <v>188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6"/>
      <c r="P4" s="595" t="s">
        <v>188</v>
      </c>
      <c r="Q4" s="596"/>
      <c r="R4" s="596"/>
      <c r="S4" s="596"/>
      <c r="T4" s="596"/>
      <c r="U4" s="596"/>
      <c r="V4" s="596"/>
      <c r="W4" s="596"/>
      <c r="X4" s="597"/>
      <c r="Y4" s="574" t="s">
        <v>188</v>
      </c>
      <c r="Z4" s="575"/>
      <c r="AA4" s="575"/>
      <c r="AB4" s="575"/>
      <c r="AC4" s="575"/>
      <c r="AD4" s="575"/>
      <c r="AE4" s="575"/>
      <c r="AF4" s="575"/>
      <c r="AG4" s="575"/>
      <c r="AH4" s="575"/>
      <c r="AI4" s="575"/>
      <c r="AJ4" s="576"/>
      <c r="AK4" s="595" t="s">
        <v>188</v>
      </c>
      <c r="AL4" s="596"/>
      <c r="AM4" s="596"/>
      <c r="AN4" s="596"/>
      <c r="AO4" s="596"/>
      <c r="AP4" s="596"/>
      <c r="AQ4" s="596"/>
      <c r="AR4" s="596"/>
      <c r="AS4" s="597"/>
      <c r="AT4" s="574" t="s">
        <v>188</v>
      </c>
      <c r="AU4" s="575"/>
      <c r="AV4" s="575"/>
      <c r="AW4" s="575"/>
      <c r="AX4" s="575"/>
      <c r="AY4" s="575"/>
      <c r="AZ4" s="575"/>
      <c r="BA4" s="575"/>
      <c r="BB4" s="575"/>
      <c r="BC4" s="575"/>
      <c r="BD4" s="575"/>
      <c r="BE4" s="576"/>
      <c r="BF4" s="595" t="s">
        <v>188</v>
      </c>
      <c r="BG4" s="596"/>
      <c r="BH4" s="596"/>
      <c r="BI4" s="596"/>
      <c r="BJ4" s="596"/>
      <c r="BK4" s="596"/>
      <c r="BL4" s="596"/>
      <c r="BM4" s="596"/>
      <c r="BN4" s="597"/>
    </row>
    <row r="5" spans="1:67" ht="48" customHeight="1" x14ac:dyDescent="0.25">
      <c r="A5" s="593"/>
      <c r="B5" s="593"/>
      <c r="C5" s="593"/>
      <c r="D5" s="580" t="s">
        <v>393</v>
      </c>
      <c r="E5" s="581"/>
      <c r="F5" s="582"/>
      <c r="G5" s="586" t="s">
        <v>5</v>
      </c>
      <c r="H5" s="587"/>
      <c r="I5" s="588"/>
      <c r="J5" s="571" t="s">
        <v>6</v>
      </c>
      <c r="K5" s="572"/>
      <c r="L5" s="572"/>
      <c r="M5" s="572"/>
      <c r="N5" s="572"/>
      <c r="O5" s="573"/>
      <c r="P5" s="598" t="s">
        <v>193</v>
      </c>
      <c r="Q5" s="599"/>
      <c r="R5" s="600"/>
      <c r="S5" s="595" t="s">
        <v>194</v>
      </c>
      <c r="T5" s="596"/>
      <c r="U5" s="597"/>
      <c r="V5" s="595" t="s">
        <v>195</v>
      </c>
      <c r="W5" s="596"/>
      <c r="X5" s="597"/>
      <c r="Y5" s="580" t="s">
        <v>393</v>
      </c>
      <c r="Z5" s="581"/>
      <c r="AA5" s="582"/>
      <c r="AB5" s="586" t="s">
        <v>5</v>
      </c>
      <c r="AC5" s="587"/>
      <c r="AD5" s="588"/>
      <c r="AE5" s="571" t="s">
        <v>6</v>
      </c>
      <c r="AF5" s="572"/>
      <c r="AG5" s="572"/>
      <c r="AH5" s="572"/>
      <c r="AI5" s="572"/>
      <c r="AJ5" s="573"/>
      <c r="AK5" s="598" t="s">
        <v>193</v>
      </c>
      <c r="AL5" s="599"/>
      <c r="AM5" s="600"/>
      <c r="AN5" s="595" t="s">
        <v>194</v>
      </c>
      <c r="AO5" s="596"/>
      <c r="AP5" s="597"/>
      <c r="AQ5" s="595" t="s">
        <v>195</v>
      </c>
      <c r="AR5" s="596"/>
      <c r="AS5" s="597"/>
      <c r="AT5" s="580" t="s">
        <v>393</v>
      </c>
      <c r="AU5" s="581"/>
      <c r="AV5" s="582"/>
      <c r="AW5" s="586" t="s">
        <v>5</v>
      </c>
      <c r="AX5" s="587"/>
      <c r="AY5" s="588"/>
      <c r="AZ5" s="571" t="s">
        <v>6</v>
      </c>
      <c r="BA5" s="572"/>
      <c r="BB5" s="572"/>
      <c r="BC5" s="572"/>
      <c r="BD5" s="572"/>
      <c r="BE5" s="573"/>
      <c r="BF5" s="598" t="s">
        <v>193</v>
      </c>
      <c r="BG5" s="599"/>
      <c r="BH5" s="600"/>
      <c r="BI5" s="595" t="s">
        <v>194</v>
      </c>
      <c r="BJ5" s="596"/>
      <c r="BK5" s="597"/>
      <c r="BL5" s="595" t="s">
        <v>195</v>
      </c>
      <c r="BM5" s="596"/>
      <c r="BN5" s="597"/>
    </row>
    <row r="6" spans="1:67" ht="29.25" customHeight="1" x14ac:dyDescent="0.25">
      <c r="A6" s="593"/>
      <c r="B6" s="593"/>
      <c r="C6" s="593"/>
      <c r="D6" s="583"/>
      <c r="E6" s="584"/>
      <c r="F6" s="585"/>
      <c r="G6" s="589"/>
      <c r="H6" s="590"/>
      <c r="I6" s="591"/>
      <c r="J6" s="574" t="s">
        <v>394</v>
      </c>
      <c r="K6" s="575"/>
      <c r="L6" s="576"/>
      <c r="M6" s="577" t="s">
        <v>397</v>
      </c>
      <c r="N6" s="578"/>
      <c r="O6" s="579"/>
      <c r="P6" s="601"/>
      <c r="Q6" s="602"/>
      <c r="R6" s="603"/>
      <c r="S6" s="595" t="s">
        <v>196</v>
      </c>
      <c r="T6" s="596"/>
      <c r="U6" s="597"/>
      <c r="V6" s="595" t="s">
        <v>196</v>
      </c>
      <c r="W6" s="596"/>
      <c r="X6" s="597"/>
      <c r="Y6" s="583"/>
      <c r="Z6" s="584"/>
      <c r="AA6" s="585"/>
      <c r="AB6" s="589"/>
      <c r="AC6" s="590"/>
      <c r="AD6" s="591"/>
      <c r="AE6" s="574" t="s">
        <v>394</v>
      </c>
      <c r="AF6" s="575"/>
      <c r="AG6" s="576"/>
      <c r="AH6" s="574" t="s">
        <v>388</v>
      </c>
      <c r="AI6" s="575"/>
      <c r="AJ6" s="576"/>
      <c r="AK6" s="601"/>
      <c r="AL6" s="602"/>
      <c r="AM6" s="603"/>
      <c r="AN6" s="595" t="s">
        <v>196</v>
      </c>
      <c r="AO6" s="596"/>
      <c r="AP6" s="597"/>
      <c r="AQ6" s="595" t="s">
        <v>196</v>
      </c>
      <c r="AR6" s="596"/>
      <c r="AS6" s="597"/>
      <c r="AT6" s="583"/>
      <c r="AU6" s="584"/>
      <c r="AV6" s="585"/>
      <c r="AW6" s="589"/>
      <c r="AX6" s="590"/>
      <c r="AY6" s="591"/>
      <c r="AZ6" s="574" t="s">
        <v>394</v>
      </c>
      <c r="BA6" s="575"/>
      <c r="BB6" s="576"/>
      <c r="BC6" s="574" t="s">
        <v>388</v>
      </c>
      <c r="BD6" s="575"/>
      <c r="BE6" s="576"/>
      <c r="BF6" s="601"/>
      <c r="BG6" s="602"/>
      <c r="BH6" s="603"/>
      <c r="BI6" s="595" t="s">
        <v>196</v>
      </c>
      <c r="BJ6" s="596"/>
      <c r="BK6" s="597"/>
      <c r="BL6" s="595" t="s">
        <v>196</v>
      </c>
      <c r="BM6" s="596"/>
      <c r="BN6" s="597"/>
    </row>
    <row r="7" spans="1:67" ht="18.75" customHeight="1" x14ac:dyDescent="0.25">
      <c r="A7" s="594"/>
      <c r="B7" s="594"/>
      <c r="C7" s="594"/>
      <c r="D7" s="438" t="s">
        <v>43</v>
      </c>
      <c r="E7" s="438" t="s">
        <v>44</v>
      </c>
      <c r="F7" s="438" t="s">
        <v>3</v>
      </c>
      <c r="G7" s="438" t="s">
        <v>43</v>
      </c>
      <c r="H7" s="438" t="s">
        <v>44</v>
      </c>
      <c r="I7" s="438" t="s">
        <v>3</v>
      </c>
      <c r="J7" s="438" t="s">
        <v>43</v>
      </c>
      <c r="K7" s="438" t="s">
        <v>44</v>
      </c>
      <c r="L7" s="438" t="s">
        <v>3</v>
      </c>
      <c r="M7" s="438" t="s">
        <v>43</v>
      </c>
      <c r="N7" s="438" t="s">
        <v>44</v>
      </c>
      <c r="O7" s="438" t="s">
        <v>3</v>
      </c>
      <c r="P7" s="439" t="s">
        <v>43</v>
      </c>
      <c r="Q7" s="439" t="s">
        <v>44</v>
      </c>
      <c r="R7" s="439" t="s">
        <v>3</v>
      </c>
      <c r="S7" s="439" t="s">
        <v>43</v>
      </c>
      <c r="T7" s="439" t="s">
        <v>44</v>
      </c>
      <c r="U7" s="439" t="s">
        <v>3</v>
      </c>
      <c r="V7" s="439" t="s">
        <v>43</v>
      </c>
      <c r="W7" s="439" t="s">
        <v>44</v>
      </c>
      <c r="X7" s="439" t="s">
        <v>3</v>
      </c>
      <c r="Y7" s="438" t="s">
        <v>43</v>
      </c>
      <c r="Z7" s="438" t="s">
        <v>44</v>
      </c>
      <c r="AA7" s="438" t="s">
        <v>3</v>
      </c>
      <c r="AB7" s="438" t="s">
        <v>43</v>
      </c>
      <c r="AC7" s="438" t="s">
        <v>44</v>
      </c>
      <c r="AD7" s="438" t="s">
        <v>3</v>
      </c>
      <c r="AE7" s="438" t="s">
        <v>43</v>
      </c>
      <c r="AF7" s="438" t="s">
        <v>44</v>
      </c>
      <c r="AG7" s="438" t="s">
        <v>3</v>
      </c>
      <c r="AH7" s="438" t="s">
        <v>43</v>
      </c>
      <c r="AI7" s="438" t="s">
        <v>44</v>
      </c>
      <c r="AJ7" s="438" t="s">
        <v>3</v>
      </c>
      <c r="AK7" s="439" t="s">
        <v>43</v>
      </c>
      <c r="AL7" s="439" t="s">
        <v>44</v>
      </c>
      <c r="AM7" s="439" t="s">
        <v>3</v>
      </c>
      <c r="AN7" s="439" t="s">
        <v>43</v>
      </c>
      <c r="AO7" s="439" t="s">
        <v>44</v>
      </c>
      <c r="AP7" s="439" t="s">
        <v>3</v>
      </c>
      <c r="AQ7" s="439" t="s">
        <v>43</v>
      </c>
      <c r="AR7" s="439" t="s">
        <v>44</v>
      </c>
      <c r="AS7" s="439" t="s">
        <v>3</v>
      </c>
      <c r="AT7" s="438" t="s">
        <v>43</v>
      </c>
      <c r="AU7" s="438" t="s">
        <v>44</v>
      </c>
      <c r="AV7" s="438" t="s">
        <v>3</v>
      </c>
      <c r="AW7" s="438" t="s">
        <v>43</v>
      </c>
      <c r="AX7" s="438" t="s">
        <v>44</v>
      </c>
      <c r="AY7" s="438" t="s">
        <v>3</v>
      </c>
      <c r="AZ7" s="438" t="s">
        <v>43</v>
      </c>
      <c r="BA7" s="438" t="s">
        <v>44</v>
      </c>
      <c r="BB7" s="438" t="s">
        <v>3</v>
      </c>
      <c r="BC7" s="438" t="s">
        <v>43</v>
      </c>
      <c r="BD7" s="438" t="s">
        <v>44</v>
      </c>
      <c r="BE7" s="438" t="s">
        <v>3</v>
      </c>
      <c r="BF7" s="439" t="s">
        <v>43</v>
      </c>
      <c r="BG7" s="439" t="s">
        <v>44</v>
      </c>
      <c r="BH7" s="439" t="s">
        <v>3</v>
      </c>
      <c r="BI7" s="439" t="s">
        <v>43</v>
      </c>
      <c r="BJ7" s="439" t="s">
        <v>44</v>
      </c>
      <c r="BK7" s="439" t="s">
        <v>3</v>
      </c>
      <c r="BL7" s="439" t="s">
        <v>43</v>
      </c>
      <c r="BM7" s="439" t="s">
        <v>44</v>
      </c>
      <c r="BN7" s="439" t="s">
        <v>3</v>
      </c>
    </row>
    <row r="8" spans="1:67" x14ac:dyDescent="0.25">
      <c r="A8" s="440">
        <v>1</v>
      </c>
      <c r="B8" s="441">
        <v>2</v>
      </c>
      <c r="C8" s="440">
        <v>3</v>
      </c>
      <c r="D8" s="440">
        <v>4</v>
      </c>
      <c r="E8" s="440">
        <v>5</v>
      </c>
      <c r="F8" s="441">
        <v>6</v>
      </c>
      <c r="G8" s="440">
        <v>7</v>
      </c>
      <c r="H8" s="441">
        <v>8</v>
      </c>
      <c r="I8" s="440">
        <v>9</v>
      </c>
      <c r="J8" s="441">
        <v>10</v>
      </c>
      <c r="K8" s="440">
        <v>11</v>
      </c>
      <c r="L8" s="441">
        <v>12</v>
      </c>
      <c r="M8" s="440">
        <v>13</v>
      </c>
      <c r="N8" s="441">
        <v>14</v>
      </c>
      <c r="O8" s="440">
        <v>15</v>
      </c>
      <c r="P8" s="440">
        <v>4</v>
      </c>
      <c r="Q8" s="440">
        <v>5</v>
      </c>
      <c r="R8" s="441">
        <v>6</v>
      </c>
      <c r="S8" s="440">
        <v>7</v>
      </c>
      <c r="T8" s="441">
        <v>8</v>
      </c>
      <c r="U8" s="440">
        <v>9</v>
      </c>
      <c r="V8" s="441">
        <v>10</v>
      </c>
      <c r="W8" s="440">
        <v>11</v>
      </c>
      <c r="X8" s="441">
        <v>12</v>
      </c>
      <c r="Y8" s="440">
        <v>17</v>
      </c>
      <c r="Z8" s="441">
        <v>18</v>
      </c>
      <c r="AA8" s="440">
        <v>19</v>
      </c>
      <c r="AB8" s="441">
        <v>20</v>
      </c>
      <c r="AC8" s="440">
        <v>21</v>
      </c>
      <c r="AD8" s="441">
        <v>22</v>
      </c>
      <c r="AE8" s="440">
        <v>23</v>
      </c>
      <c r="AF8" s="441">
        <v>24</v>
      </c>
      <c r="AG8" s="440">
        <v>25</v>
      </c>
      <c r="AH8" s="441">
        <v>26</v>
      </c>
      <c r="AI8" s="440">
        <v>27</v>
      </c>
      <c r="AJ8" s="441">
        <v>28</v>
      </c>
      <c r="AK8" s="440">
        <v>4</v>
      </c>
      <c r="AL8" s="440">
        <v>5</v>
      </c>
      <c r="AM8" s="441">
        <v>6</v>
      </c>
      <c r="AN8" s="440">
        <v>7</v>
      </c>
      <c r="AO8" s="441">
        <v>8</v>
      </c>
      <c r="AP8" s="440">
        <v>9</v>
      </c>
      <c r="AQ8" s="441">
        <v>10</v>
      </c>
      <c r="AR8" s="440">
        <v>11</v>
      </c>
      <c r="AS8" s="441">
        <v>12</v>
      </c>
      <c r="AT8" s="440">
        <v>29</v>
      </c>
      <c r="AU8" s="441">
        <v>30</v>
      </c>
      <c r="AV8" s="440">
        <v>31</v>
      </c>
      <c r="AW8" s="441">
        <v>32</v>
      </c>
      <c r="AX8" s="440">
        <v>33</v>
      </c>
      <c r="AY8" s="441">
        <v>34</v>
      </c>
      <c r="AZ8" s="440">
        <v>35</v>
      </c>
      <c r="BA8" s="441">
        <v>36</v>
      </c>
      <c r="BB8" s="440">
        <v>37</v>
      </c>
      <c r="BC8" s="441">
        <v>38</v>
      </c>
      <c r="BD8" s="440">
        <v>39</v>
      </c>
      <c r="BE8" s="441">
        <v>40</v>
      </c>
      <c r="BF8" s="440">
        <v>4</v>
      </c>
      <c r="BG8" s="440">
        <v>5</v>
      </c>
      <c r="BH8" s="441">
        <v>6</v>
      </c>
      <c r="BI8" s="440">
        <v>7</v>
      </c>
      <c r="BJ8" s="441">
        <v>8</v>
      </c>
      <c r="BK8" s="440">
        <v>9</v>
      </c>
      <c r="BL8" s="441">
        <v>10</v>
      </c>
      <c r="BM8" s="440">
        <v>11</v>
      </c>
      <c r="BN8" s="441">
        <v>12</v>
      </c>
    </row>
    <row r="9" spans="1:67" ht="45" customHeight="1" x14ac:dyDescent="0.25">
      <c r="A9" s="380">
        <v>1</v>
      </c>
      <c r="B9" s="395" t="s">
        <v>357</v>
      </c>
      <c r="C9" s="381" t="s">
        <v>226</v>
      </c>
      <c r="D9" s="387">
        <v>76083</v>
      </c>
      <c r="E9" s="387">
        <v>41885</v>
      </c>
      <c r="F9" s="387">
        <v>117968</v>
      </c>
      <c r="G9" s="387">
        <v>75341</v>
      </c>
      <c r="H9" s="387">
        <v>41666</v>
      </c>
      <c r="I9" s="387">
        <v>117007</v>
      </c>
      <c r="J9" s="387">
        <v>39360</v>
      </c>
      <c r="K9" s="387">
        <v>22282</v>
      </c>
      <c r="L9" s="387">
        <v>61642</v>
      </c>
      <c r="M9" s="396">
        <v>0.5224247089897931</v>
      </c>
      <c r="N9" s="396">
        <v>0.53477655642490285</v>
      </c>
      <c r="O9" s="396">
        <v>0.52682318151905438</v>
      </c>
      <c r="P9" s="387">
        <v>39360</v>
      </c>
      <c r="Q9" s="387">
        <v>22282</v>
      </c>
      <c r="R9" s="387">
        <v>61642</v>
      </c>
      <c r="S9" s="387">
        <v>22526</v>
      </c>
      <c r="T9" s="387">
        <v>13260</v>
      </c>
      <c r="U9" s="387">
        <v>35786</v>
      </c>
      <c r="V9" s="396">
        <v>0.57230691056910565</v>
      </c>
      <c r="W9" s="396">
        <v>0.59509918319719957</v>
      </c>
      <c r="X9" s="396">
        <v>0.58054573180623603</v>
      </c>
      <c r="Y9" s="397">
        <v>6782</v>
      </c>
      <c r="Z9" s="384">
        <v>3687</v>
      </c>
      <c r="AA9" s="384">
        <v>10469</v>
      </c>
      <c r="AB9" s="398">
        <v>6725</v>
      </c>
      <c r="AC9" s="398">
        <v>3674</v>
      </c>
      <c r="AD9" s="398">
        <v>10399</v>
      </c>
      <c r="AE9" s="398">
        <v>3179</v>
      </c>
      <c r="AF9" s="399">
        <v>1849</v>
      </c>
      <c r="AG9" s="398">
        <v>5028</v>
      </c>
      <c r="AH9" s="396">
        <v>0.47271375464684012</v>
      </c>
      <c r="AI9" s="396">
        <v>0.50326619488296132</v>
      </c>
      <c r="AJ9" s="396">
        <v>0.48350802961823253</v>
      </c>
      <c r="AK9" s="398">
        <v>3179</v>
      </c>
      <c r="AL9" s="399">
        <v>1849</v>
      </c>
      <c r="AM9" s="398">
        <v>5028</v>
      </c>
      <c r="AN9" s="398">
        <v>1751</v>
      </c>
      <c r="AO9" s="400">
        <v>1039</v>
      </c>
      <c r="AP9" s="400">
        <v>2790</v>
      </c>
      <c r="AQ9" s="396">
        <v>0.55080213903743314</v>
      </c>
      <c r="AR9" s="396">
        <v>0.56192536506219581</v>
      </c>
      <c r="AS9" s="396">
        <v>0.55489260143198094</v>
      </c>
      <c r="AT9" s="384">
        <v>4520</v>
      </c>
      <c r="AU9" s="384">
        <v>3949</v>
      </c>
      <c r="AV9" s="384">
        <v>8469</v>
      </c>
      <c r="AW9" s="398">
        <v>4500</v>
      </c>
      <c r="AX9" s="398">
        <v>3939</v>
      </c>
      <c r="AY9" s="398">
        <v>8439</v>
      </c>
      <c r="AZ9" s="398">
        <v>2534</v>
      </c>
      <c r="BA9" s="398">
        <v>2404</v>
      </c>
      <c r="BB9" s="398">
        <v>4938</v>
      </c>
      <c r="BC9" s="396">
        <v>0.56311111111111112</v>
      </c>
      <c r="BD9" s="396">
        <v>0.61030718456461031</v>
      </c>
      <c r="BE9" s="396">
        <v>0.58514041948098117</v>
      </c>
      <c r="BF9" s="398">
        <v>2534</v>
      </c>
      <c r="BG9" s="398">
        <v>2404</v>
      </c>
      <c r="BH9" s="398">
        <v>4938</v>
      </c>
      <c r="BI9" s="398">
        <v>1284</v>
      </c>
      <c r="BJ9" s="398">
        <v>1272</v>
      </c>
      <c r="BK9" s="398">
        <v>2556</v>
      </c>
      <c r="BL9" s="396">
        <v>0.50670876085240724</v>
      </c>
      <c r="BM9" s="396">
        <v>0.52911813643926786</v>
      </c>
      <c r="BN9" s="396">
        <v>0.51761846901579589</v>
      </c>
      <c r="BO9" s="442"/>
    </row>
    <row r="10" spans="1:67" ht="47.25" x14ac:dyDescent="0.25">
      <c r="A10" s="380">
        <v>2</v>
      </c>
      <c r="B10" s="381" t="s">
        <v>358</v>
      </c>
      <c r="C10" s="381" t="s">
        <v>322</v>
      </c>
      <c r="D10" s="387">
        <v>16141</v>
      </c>
      <c r="E10" s="387">
        <v>19460</v>
      </c>
      <c r="F10" s="387">
        <v>35601</v>
      </c>
      <c r="G10" s="387">
        <v>14480</v>
      </c>
      <c r="H10" s="387">
        <v>17560</v>
      </c>
      <c r="I10" s="387">
        <v>32040</v>
      </c>
      <c r="J10" s="387">
        <v>7132</v>
      </c>
      <c r="K10" s="387">
        <v>9734</v>
      </c>
      <c r="L10" s="387">
        <v>16866</v>
      </c>
      <c r="M10" s="396">
        <v>0.49254143646408838</v>
      </c>
      <c r="N10" s="396">
        <v>0.55432801822323463</v>
      </c>
      <c r="O10" s="396">
        <v>0.52640449438202253</v>
      </c>
      <c r="P10" s="387">
        <v>7132</v>
      </c>
      <c r="Q10" s="387">
        <v>9734</v>
      </c>
      <c r="R10" s="387">
        <v>16866</v>
      </c>
      <c r="S10" s="387">
        <v>2488</v>
      </c>
      <c r="T10" s="387">
        <v>4148</v>
      </c>
      <c r="U10" s="387">
        <v>6636</v>
      </c>
      <c r="V10" s="396">
        <v>0.34885025238362311</v>
      </c>
      <c r="W10" s="396">
        <v>0.42613519621943702</v>
      </c>
      <c r="X10" s="396">
        <v>0.39345428673070082</v>
      </c>
      <c r="Y10" s="401">
        <v>3631</v>
      </c>
      <c r="Z10" s="401">
        <v>4458</v>
      </c>
      <c r="AA10" s="401">
        <v>8089</v>
      </c>
      <c r="AB10" s="403">
        <v>3289</v>
      </c>
      <c r="AC10" s="403">
        <v>4094</v>
      </c>
      <c r="AD10" s="403">
        <v>7383</v>
      </c>
      <c r="AE10" s="404">
        <v>1630</v>
      </c>
      <c r="AF10" s="403">
        <v>2323</v>
      </c>
      <c r="AG10" s="403">
        <v>3953</v>
      </c>
      <c r="AH10" s="396">
        <v>0.49559136515658253</v>
      </c>
      <c r="AI10" s="396">
        <v>0.56741573033707871</v>
      </c>
      <c r="AJ10" s="396">
        <v>0.53541920628470807</v>
      </c>
      <c r="AK10" s="404">
        <v>1630</v>
      </c>
      <c r="AL10" s="403">
        <v>2323</v>
      </c>
      <c r="AM10" s="403">
        <v>3953</v>
      </c>
      <c r="AN10" s="398">
        <v>596</v>
      </c>
      <c r="AO10" s="402">
        <v>948</v>
      </c>
      <c r="AP10" s="402">
        <v>1544</v>
      </c>
      <c r="AQ10" s="396">
        <v>0.3656441717791411</v>
      </c>
      <c r="AR10" s="396">
        <v>0.40809298321136461</v>
      </c>
      <c r="AS10" s="396">
        <v>0.39058942575259298</v>
      </c>
      <c r="AT10" s="401">
        <v>1420</v>
      </c>
      <c r="AU10" s="401">
        <v>1863</v>
      </c>
      <c r="AV10" s="401">
        <v>3283</v>
      </c>
      <c r="AW10" s="403">
        <v>1292</v>
      </c>
      <c r="AX10" s="403">
        <v>1626</v>
      </c>
      <c r="AY10" s="403">
        <v>2918</v>
      </c>
      <c r="AZ10" s="404">
        <v>631</v>
      </c>
      <c r="BA10" s="403">
        <v>873</v>
      </c>
      <c r="BB10" s="403">
        <v>1504</v>
      </c>
      <c r="BC10" s="396">
        <v>0.48839009287925694</v>
      </c>
      <c r="BD10" s="396">
        <v>0.53690036900369009</v>
      </c>
      <c r="BE10" s="396">
        <v>0.51542152159013022</v>
      </c>
      <c r="BF10" s="404">
        <v>631</v>
      </c>
      <c r="BG10" s="403">
        <v>873</v>
      </c>
      <c r="BH10" s="403">
        <v>1504</v>
      </c>
      <c r="BI10" s="398">
        <v>149</v>
      </c>
      <c r="BJ10" s="398">
        <v>341</v>
      </c>
      <c r="BK10" s="398">
        <v>490</v>
      </c>
      <c r="BL10" s="396">
        <v>0.23613312202852615</v>
      </c>
      <c r="BM10" s="396">
        <v>0.39060710194730813</v>
      </c>
      <c r="BN10" s="396">
        <v>0.32579787234042551</v>
      </c>
      <c r="BO10" s="442"/>
    </row>
    <row r="11" spans="1:67" ht="38.25" customHeight="1" x14ac:dyDescent="0.25">
      <c r="A11" s="380">
        <v>3</v>
      </c>
      <c r="B11" s="395" t="s">
        <v>363</v>
      </c>
      <c r="C11" s="381" t="s">
        <v>223</v>
      </c>
      <c r="D11" s="387">
        <v>25253</v>
      </c>
      <c r="E11" s="387">
        <v>16903</v>
      </c>
      <c r="F11" s="387">
        <v>42156</v>
      </c>
      <c r="G11" s="387">
        <v>21428</v>
      </c>
      <c r="H11" s="387">
        <v>14968</v>
      </c>
      <c r="I11" s="387">
        <v>36396</v>
      </c>
      <c r="J11" s="387">
        <v>10852</v>
      </c>
      <c r="K11" s="387">
        <v>8487</v>
      </c>
      <c r="L11" s="387">
        <v>19339</v>
      </c>
      <c r="M11" s="396">
        <v>0.506440171737913</v>
      </c>
      <c r="N11" s="396">
        <v>0.56700962052378412</v>
      </c>
      <c r="O11" s="396">
        <v>0.53134959885701727</v>
      </c>
      <c r="P11" s="387">
        <v>10852</v>
      </c>
      <c r="Q11" s="387">
        <v>8487</v>
      </c>
      <c r="R11" s="387">
        <v>19339</v>
      </c>
      <c r="S11" s="387">
        <v>2859</v>
      </c>
      <c r="T11" s="387">
        <v>2188</v>
      </c>
      <c r="U11" s="387">
        <v>5047</v>
      </c>
      <c r="V11" s="396">
        <v>0.2634537412458533</v>
      </c>
      <c r="W11" s="396">
        <v>0.25780605632143277</v>
      </c>
      <c r="X11" s="396">
        <v>0.2609752313976938</v>
      </c>
      <c r="Y11" s="384">
        <v>3626</v>
      </c>
      <c r="Z11" s="384">
        <v>2569</v>
      </c>
      <c r="AA11" s="384">
        <v>6195</v>
      </c>
      <c r="AB11" s="403">
        <v>3154</v>
      </c>
      <c r="AC11" s="403">
        <v>2319</v>
      </c>
      <c r="AD11" s="403">
        <v>5473</v>
      </c>
      <c r="AE11" s="403">
        <v>1535</v>
      </c>
      <c r="AF11" s="403">
        <v>1320</v>
      </c>
      <c r="AG11" s="403">
        <v>2855</v>
      </c>
      <c r="AH11" s="396">
        <v>0.48668357641090676</v>
      </c>
      <c r="AI11" s="396">
        <v>0.56921086675291077</v>
      </c>
      <c r="AJ11" s="396">
        <v>0.52165174492965471</v>
      </c>
      <c r="AK11" s="403">
        <v>1535</v>
      </c>
      <c r="AL11" s="403">
        <v>1320</v>
      </c>
      <c r="AM11" s="403">
        <v>2855</v>
      </c>
      <c r="AN11" s="398">
        <v>325</v>
      </c>
      <c r="AO11" s="400">
        <v>292</v>
      </c>
      <c r="AP11" s="400">
        <v>617</v>
      </c>
      <c r="AQ11" s="396">
        <v>0.21172638436482086</v>
      </c>
      <c r="AR11" s="396">
        <v>0.22121212121212122</v>
      </c>
      <c r="AS11" s="396">
        <v>0.21611208406304727</v>
      </c>
      <c r="AT11" s="403">
        <v>5996</v>
      </c>
      <c r="AU11" s="403">
        <v>4621</v>
      </c>
      <c r="AV11" s="403">
        <v>10617</v>
      </c>
      <c r="AW11" s="403">
        <v>4959</v>
      </c>
      <c r="AX11" s="403">
        <v>4012</v>
      </c>
      <c r="AY11" s="403">
        <v>8971</v>
      </c>
      <c r="AZ11" s="403">
        <v>2708</v>
      </c>
      <c r="BA11" s="403">
        <v>2342</v>
      </c>
      <c r="BB11" s="403">
        <v>5050</v>
      </c>
      <c r="BC11" s="396">
        <v>0.54607783827384548</v>
      </c>
      <c r="BD11" s="396">
        <v>0.58374875373878365</v>
      </c>
      <c r="BE11" s="396">
        <v>0.56292498049269868</v>
      </c>
      <c r="BF11" s="403">
        <v>2708</v>
      </c>
      <c r="BG11" s="403">
        <v>2342</v>
      </c>
      <c r="BH11" s="403">
        <v>5050</v>
      </c>
      <c r="BI11" s="403">
        <v>938</v>
      </c>
      <c r="BJ11" s="403">
        <v>740</v>
      </c>
      <c r="BK11" s="403">
        <v>1678</v>
      </c>
      <c r="BL11" s="396">
        <v>0.34638109305760711</v>
      </c>
      <c r="BM11" s="396">
        <v>0.31596925704526047</v>
      </c>
      <c r="BN11" s="396">
        <v>0.33227722772277229</v>
      </c>
      <c r="BO11" s="442"/>
    </row>
    <row r="12" spans="1:67" ht="50.25" customHeight="1" x14ac:dyDescent="0.25">
      <c r="A12" s="380">
        <v>4</v>
      </c>
      <c r="B12" s="381" t="s">
        <v>375</v>
      </c>
      <c r="C12" s="381" t="s">
        <v>225</v>
      </c>
      <c r="D12" s="387">
        <v>62057</v>
      </c>
      <c r="E12" s="387">
        <v>48555</v>
      </c>
      <c r="F12" s="387">
        <v>110612</v>
      </c>
      <c r="G12" s="387">
        <v>62057</v>
      </c>
      <c r="H12" s="387">
        <v>48555</v>
      </c>
      <c r="I12" s="387">
        <v>110612</v>
      </c>
      <c r="J12" s="387">
        <v>15853</v>
      </c>
      <c r="K12" s="387">
        <v>14167</v>
      </c>
      <c r="L12" s="387">
        <v>30020</v>
      </c>
      <c r="M12" s="396">
        <v>0.2554586912032486</v>
      </c>
      <c r="N12" s="396">
        <v>0.29177221707342188</v>
      </c>
      <c r="O12" s="396">
        <v>0.27139912486891116</v>
      </c>
      <c r="P12" s="387">
        <v>15853</v>
      </c>
      <c r="Q12" s="387">
        <v>14167</v>
      </c>
      <c r="R12" s="387">
        <v>30020</v>
      </c>
      <c r="S12" s="387">
        <v>615</v>
      </c>
      <c r="T12" s="387">
        <v>789</v>
      </c>
      <c r="U12" s="387">
        <v>1404</v>
      </c>
      <c r="V12" s="396">
        <v>3.8793919132025484E-2</v>
      </c>
      <c r="W12" s="396">
        <v>5.5692807228065223E-2</v>
      </c>
      <c r="X12" s="396">
        <v>4.676882078614257E-2</v>
      </c>
      <c r="Y12" s="404">
        <v>14291</v>
      </c>
      <c r="Z12" s="404">
        <v>11327</v>
      </c>
      <c r="AA12" s="404">
        <v>25618</v>
      </c>
      <c r="AB12" s="404">
        <v>14291</v>
      </c>
      <c r="AC12" s="404">
        <v>11327</v>
      </c>
      <c r="AD12" s="404">
        <v>25618</v>
      </c>
      <c r="AE12" s="404">
        <v>3254</v>
      </c>
      <c r="AF12" s="404">
        <v>3038</v>
      </c>
      <c r="AG12" s="404">
        <v>6292</v>
      </c>
      <c r="AH12" s="396">
        <v>0.22769575257154853</v>
      </c>
      <c r="AI12" s="396">
        <v>0.26820870486448312</v>
      </c>
      <c r="AJ12" s="396">
        <v>0.24560855648372237</v>
      </c>
      <c r="AK12" s="404">
        <v>3254</v>
      </c>
      <c r="AL12" s="404">
        <v>3038</v>
      </c>
      <c r="AM12" s="404">
        <v>6292</v>
      </c>
      <c r="AN12" s="404">
        <v>123</v>
      </c>
      <c r="AO12" s="404">
        <v>165</v>
      </c>
      <c r="AP12" s="404">
        <v>288</v>
      </c>
      <c r="AQ12" s="396">
        <v>3.7799631223110017E-2</v>
      </c>
      <c r="AR12" s="396">
        <v>5.4312047399605004E-2</v>
      </c>
      <c r="AS12" s="396">
        <v>4.5772409408773043E-2</v>
      </c>
      <c r="AT12" s="403">
        <v>8082</v>
      </c>
      <c r="AU12" s="403">
        <v>7998</v>
      </c>
      <c r="AV12" s="403">
        <v>16080</v>
      </c>
      <c r="AW12" s="403">
        <v>8082</v>
      </c>
      <c r="AX12" s="403">
        <v>7998</v>
      </c>
      <c r="AY12" s="403">
        <v>16080</v>
      </c>
      <c r="AZ12" s="403">
        <v>1617</v>
      </c>
      <c r="BA12" s="403">
        <v>1755</v>
      </c>
      <c r="BB12" s="403">
        <v>3372</v>
      </c>
      <c r="BC12" s="396">
        <v>0.20007423904974017</v>
      </c>
      <c r="BD12" s="396">
        <v>0.21942985746436608</v>
      </c>
      <c r="BE12" s="396">
        <v>0.20970149253731343</v>
      </c>
      <c r="BF12" s="403">
        <v>1617</v>
      </c>
      <c r="BG12" s="403">
        <v>1755</v>
      </c>
      <c r="BH12" s="403">
        <v>3372</v>
      </c>
      <c r="BI12" s="403">
        <v>43</v>
      </c>
      <c r="BJ12" s="403">
        <v>60</v>
      </c>
      <c r="BK12" s="403">
        <v>103</v>
      </c>
      <c r="BL12" s="396">
        <v>2.6592455163883734E-2</v>
      </c>
      <c r="BM12" s="396">
        <v>3.4188034188034191E-2</v>
      </c>
      <c r="BN12" s="396">
        <v>3.0545670225385527E-2</v>
      </c>
      <c r="BO12" s="442"/>
    </row>
    <row r="13" spans="1:67" ht="39" customHeight="1" x14ac:dyDescent="0.25">
      <c r="A13" s="380">
        <v>5</v>
      </c>
      <c r="B13" s="395" t="s">
        <v>381</v>
      </c>
      <c r="C13" s="381" t="s">
        <v>395</v>
      </c>
      <c r="D13" s="387">
        <v>9731</v>
      </c>
      <c r="E13" s="387">
        <v>3767</v>
      </c>
      <c r="F13" s="387">
        <v>13498</v>
      </c>
      <c r="G13" s="387">
        <v>9415</v>
      </c>
      <c r="H13" s="387">
        <v>3687</v>
      </c>
      <c r="I13" s="387">
        <v>13102</v>
      </c>
      <c r="J13" s="387">
        <v>6228</v>
      </c>
      <c r="K13" s="387">
        <v>2787</v>
      </c>
      <c r="L13" s="387">
        <v>9015</v>
      </c>
      <c r="M13" s="396">
        <v>0.661497610196495</v>
      </c>
      <c r="N13" s="396">
        <v>0.75589910496338486</v>
      </c>
      <c r="O13" s="396">
        <v>0.68806289116165475</v>
      </c>
      <c r="P13" s="387">
        <v>6228</v>
      </c>
      <c r="Q13" s="387">
        <v>2787</v>
      </c>
      <c r="R13" s="387">
        <v>9015</v>
      </c>
      <c r="S13" s="405"/>
      <c r="T13" s="405"/>
      <c r="U13" s="405"/>
      <c r="V13" s="405"/>
      <c r="W13" s="405"/>
      <c r="X13" s="405"/>
      <c r="Y13" s="384">
        <v>3111</v>
      </c>
      <c r="Z13" s="384">
        <v>1200</v>
      </c>
      <c r="AA13" s="384">
        <v>4311</v>
      </c>
      <c r="AB13" s="406">
        <v>3001</v>
      </c>
      <c r="AC13" s="406">
        <v>1179</v>
      </c>
      <c r="AD13" s="406">
        <v>4180</v>
      </c>
      <c r="AE13" s="406">
        <v>2016</v>
      </c>
      <c r="AF13" s="406">
        <v>899</v>
      </c>
      <c r="AG13" s="406">
        <v>2915</v>
      </c>
      <c r="AH13" s="396">
        <v>0.67177607464178613</v>
      </c>
      <c r="AI13" s="396">
        <v>0.76251060220525868</v>
      </c>
      <c r="AJ13" s="396">
        <v>0.69736842105263153</v>
      </c>
      <c r="AK13" s="406">
        <v>2016</v>
      </c>
      <c r="AL13" s="406">
        <v>899</v>
      </c>
      <c r="AM13" s="406">
        <v>2915</v>
      </c>
      <c r="AN13" s="407"/>
      <c r="AO13" s="408"/>
      <c r="AP13" s="408"/>
      <c r="AQ13" s="405"/>
      <c r="AR13" s="405"/>
      <c r="AS13" s="405"/>
      <c r="AT13" s="384">
        <v>3</v>
      </c>
      <c r="AU13" s="384">
        <v>0</v>
      </c>
      <c r="AV13" s="384">
        <v>0</v>
      </c>
      <c r="AW13" s="406">
        <v>3</v>
      </c>
      <c r="AX13" s="406">
        <v>0</v>
      </c>
      <c r="AY13" s="406">
        <v>3</v>
      </c>
      <c r="AZ13" s="406">
        <v>1</v>
      </c>
      <c r="BA13" s="406">
        <v>0</v>
      </c>
      <c r="BB13" s="406">
        <v>1</v>
      </c>
      <c r="BC13" s="396">
        <v>0.33333333333333331</v>
      </c>
      <c r="BD13" s="405"/>
      <c r="BE13" s="396">
        <v>0.33333333333333331</v>
      </c>
      <c r="BF13" s="406">
        <v>1</v>
      </c>
      <c r="BG13" s="406">
        <v>0</v>
      </c>
      <c r="BH13" s="406">
        <v>1</v>
      </c>
      <c r="BI13" s="409"/>
      <c r="BJ13" s="409"/>
      <c r="BK13" s="409"/>
      <c r="BL13" s="405"/>
      <c r="BM13" s="405"/>
      <c r="BN13" s="405"/>
      <c r="BO13" s="442"/>
    </row>
    <row r="14" spans="1:67" ht="32.25" customHeight="1" x14ac:dyDescent="0.25">
      <c r="A14" s="380">
        <v>6</v>
      </c>
      <c r="B14" s="395" t="s">
        <v>361</v>
      </c>
      <c r="C14" s="381" t="s">
        <v>224</v>
      </c>
      <c r="D14" s="387">
        <v>24887</v>
      </c>
      <c r="E14" s="387">
        <v>48048</v>
      </c>
      <c r="F14" s="387">
        <v>72935</v>
      </c>
      <c r="G14" s="387">
        <v>22978</v>
      </c>
      <c r="H14" s="387">
        <v>41033</v>
      </c>
      <c r="I14" s="387">
        <v>64011</v>
      </c>
      <c r="J14" s="387">
        <v>11617</v>
      </c>
      <c r="K14" s="387">
        <v>20680</v>
      </c>
      <c r="L14" s="387">
        <v>32297</v>
      </c>
      <c r="M14" s="396">
        <v>0.50557054573940285</v>
      </c>
      <c r="N14" s="396">
        <v>0.50398459776277627</v>
      </c>
      <c r="O14" s="396">
        <v>0.50455390479761286</v>
      </c>
      <c r="P14" s="387">
        <v>11617</v>
      </c>
      <c r="Q14" s="387">
        <v>20680</v>
      </c>
      <c r="R14" s="387">
        <v>32297</v>
      </c>
      <c r="S14" s="387">
        <v>11617</v>
      </c>
      <c r="T14" s="387">
        <v>20680</v>
      </c>
      <c r="U14" s="387">
        <v>32297</v>
      </c>
      <c r="V14" s="396">
        <v>1</v>
      </c>
      <c r="W14" s="396">
        <v>1</v>
      </c>
      <c r="X14" s="396">
        <v>1</v>
      </c>
      <c r="Y14" s="384">
        <v>3687</v>
      </c>
      <c r="Z14" s="384">
        <v>3702</v>
      </c>
      <c r="AA14" s="384">
        <v>7389</v>
      </c>
      <c r="AB14" s="410">
        <v>3538</v>
      </c>
      <c r="AC14" s="410">
        <v>3599</v>
      </c>
      <c r="AD14" s="410">
        <v>7137</v>
      </c>
      <c r="AE14" s="410">
        <v>1858</v>
      </c>
      <c r="AF14" s="410">
        <v>1877</v>
      </c>
      <c r="AG14" s="410">
        <v>3735</v>
      </c>
      <c r="AH14" s="396">
        <v>0.52515545505935557</v>
      </c>
      <c r="AI14" s="396">
        <v>0.52153375937760493</v>
      </c>
      <c r="AJ14" s="396">
        <v>0.52332912988650693</v>
      </c>
      <c r="AK14" s="410">
        <v>1858</v>
      </c>
      <c r="AL14" s="410">
        <v>1877</v>
      </c>
      <c r="AM14" s="410">
        <v>3735</v>
      </c>
      <c r="AN14" s="400">
        <v>1858</v>
      </c>
      <c r="AO14" s="400">
        <v>1877</v>
      </c>
      <c r="AP14" s="400">
        <v>3735</v>
      </c>
      <c r="AQ14" s="396">
        <v>1</v>
      </c>
      <c r="AR14" s="396">
        <v>1</v>
      </c>
      <c r="AS14" s="396">
        <v>1</v>
      </c>
      <c r="AT14" s="384">
        <v>2601</v>
      </c>
      <c r="AU14" s="384">
        <v>2708</v>
      </c>
      <c r="AV14" s="384">
        <v>5309</v>
      </c>
      <c r="AW14" s="410">
        <v>2400</v>
      </c>
      <c r="AX14" s="410">
        <v>2529</v>
      </c>
      <c r="AY14" s="410">
        <v>4929</v>
      </c>
      <c r="AZ14" s="410">
        <v>1111</v>
      </c>
      <c r="BA14" s="410">
        <v>1108</v>
      </c>
      <c r="BB14" s="410">
        <v>2219</v>
      </c>
      <c r="BC14" s="396">
        <v>0.46291666666666664</v>
      </c>
      <c r="BD14" s="396">
        <v>0.43811783313562674</v>
      </c>
      <c r="BE14" s="396">
        <v>0.45019273686346117</v>
      </c>
      <c r="BF14" s="410">
        <v>1111</v>
      </c>
      <c r="BG14" s="410">
        <v>1108</v>
      </c>
      <c r="BH14" s="410">
        <v>2219</v>
      </c>
      <c r="BI14" s="398">
        <v>1111</v>
      </c>
      <c r="BJ14" s="398">
        <v>1108</v>
      </c>
      <c r="BK14" s="398">
        <v>2219</v>
      </c>
      <c r="BL14" s="396">
        <v>1</v>
      </c>
      <c r="BM14" s="396">
        <v>1</v>
      </c>
      <c r="BN14" s="396">
        <v>1</v>
      </c>
      <c r="BO14" s="442"/>
    </row>
    <row r="15" spans="1:67" ht="54" customHeight="1" x14ac:dyDescent="0.25">
      <c r="A15" s="380">
        <v>7</v>
      </c>
      <c r="B15" s="395" t="s">
        <v>359</v>
      </c>
      <c r="C15" s="381" t="s">
        <v>222</v>
      </c>
      <c r="D15" s="411"/>
      <c r="E15" s="411"/>
      <c r="F15" s="405"/>
      <c r="G15" s="398">
        <v>3317</v>
      </c>
      <c r="H15" s="398">
        <v>2208</v>
      </c>
      <c r="I15" s="387">
        <v>5525</v>
      </c>
      <c r="J15" s="387">
        <v>1773</v>
      </c>
      <c r="K15" s="387">
        <v>1358</v>
      </c>
      <c r="L15" s="387">
        <v>3131</v>
      </c>
      <c r="M15" s="396">
        <v>0.53451914380464272</v>
      </c>
      <c r="N15" s="396">
        <v>0.61503623188405798</v>
      </c>
      <c r="O15" s="396">
        <v>0.56669683257918557</v>
      </c>
      <c r="P15" s="387">
        <v>1773</v>
      </c>
      <c r="Q15" s="387">
        <v>1358</v>
      </c>
      <c r="R15" s="387">
        <v>3131</v>
      </c>
      <c r="S15" s="405"/>
      <c r="T15" s="405"/>
      <c r="U15" s="405"/>
      <c r="V15" s="405"/>
      <c r="W15" s="405"/>
      <c r="X15" s="405"/>
      <c r="Y15" s="411"/>
      <c r="Z15" s="411"/>
      <c r="AA15" s="411"/>
      <c r="AB15" s="398">
        <v>3317</v>
      </c>
      <c r="AC15" s="398">
        <v>2208</v>
      </c>
      <c r="AD15" s="398">
        <v>5525</v>
      </c>
      <c r="AE15" s="387">
        <v>1773</v>
      </c>
      <c r="AF15" s="387">
        <v>1358</v>
      </c>
      <c r="AG15" s="387">
        <v>3131</v>
      </c>
      <c r="AH15" s="396">
        <v>0.53451914380464272</v>
      </c>
      <c r="AI15" s="396">
        <v>0.61503623188405798</v>
      </c>
      <c r="AJ15" s="396">
        <v>0.56669683257918557</v>
      </c>
      <c r="AK15" s="387">
        <v>1773</v>
      </c>
      <c r="AL15" s="387">
        <v>1358</v>
      </c>
      <c r="AM15" s="387">
        <v>3131</v>
      </c>
      <c r="AN15" s="407"/>
      <c r="AO15" s="407"/>
      <c r="AP15" s="407"/>
      <c r="AQ15" s="407"/>
      <c r="AR15" s="407"/>
      <c r="AS15" s="407"/>
      <c r="AT15" s="411"/>
      <c r="AU15" s="411"/>
      <c r="AV15" s="411"/>
      <c r="AW15" s="398">
        <v>2226</v>
      </c>
      <c r="AX15" s="398">
        <v>1121</v>
      </c>
      <c r="AY15" s="398">
        <v>3347</v>
      </c>
      <c r="AZ15" s="387">
        <v>1120</v>
      </c>
      <c r="BA15" s="387">
        <v>662</v>
      </c>
      <c r="BB15" s="387">
        <v>1782</v>
      </c>
      <c r="BC15" s="396">
        <v>0.50314465408805031</v>
      </c>
      <c r="BD15" s="396">
        <v>0.59054415700267615</v>
      </c>
      <c r="BE15" s="396">
        <v>0.53241708993128178</v>
      </c>
      <c r="BF15" s="387">
        <v>1120</v>
      </c>
      <c r="BG15" s="387">
        <v>662</v>
      </c>
      <c r="BH15" s="387">
        <v>1782</v>
      </c>
      <c r="BI15" s="409"/>
      <c r="BJ15" s="409"/>
      <c r="BK15" s="409"/>
      <c r="BL15" s="407"/>
      <c r="BM15" s="407"/>
      <c r="BN15" s="407"/>
      <c r="BO15" s="442"/>
    </row>
    <row r="16" spans="1:67" ht="74.25" customHeight="1" x14ac:dyDescent="0.25">
      <c r="A16" s="380">
        <v>8</v>
      </c>
      <c r="B16" s="395" t="s">
        <v>386</v>
      </c>
      <c r="C16" s="381" t="s">
        <v>396</v>
      </c>
      <c r="D16" s="387">
        <v>29543</v>
      </c>
      <c r="E16" s="387">
        <v>28387</v>
      </c>
      <c r="F16" s="387">
        <v>57930</v>
      </c>
      <c r="G16" s="387">
        <v>7875</v>
      </c>
      <c r="H16" s="387">
        <v>7577</v>
      </c>
      <c r="I16" s="387">
        <v>15452</v>
      </c>
      <c r="J16" s="387">
        <v>6639</v>
      </c>
      <c r="K16" s="387">
        <v>6747</v>
      </c>
      <c r="L16" s="387">
        <v>13386</v>
      </c>
      <c r="M16" s="396">
        <v>0.84304761904761905</v>
      </c>
      <c r="N16" s="396">
        <v>0.89045796489375739</v>
      </c>
      <c r="O16" s="396">
        <v>0.86629562516179137</v>
      </c>
      <c r="P16" s="387">
        <v>6639</v>
      </c>
      <c r="Q16" s="387">
        <v>6747</v>
      </c>
      <c r="R16" s="387">
        <v>13386</v>
      </c>
      <c r="S16" s="387">
        <v>5415</v>
      </c>
      <c r="T16" s="387">
        <v>5160</v>
      </c>
      <c r="U16" s="387">
        <v>10575</v>
      </c>
      <c r="V16" s="396">
        <v>0.81563488477180301</v>
      </c>
      <c r="W16" s="396">
        <v>0.76478434859937749</v>
      </c>
      <c r="X16" s="396">
        <v>0.79000448229493503</v>
      </c>
      <c r="Y16" s="412"/>
      <c r="Z16" s="412"/>
      <c r="AA16" s="412"/>
      <c r="AB16" s="403">
        <v>574</v>
      </c>
      <c r="AC16" s="403">
        <v>342</v>
      </c>
      <c r="AD16" s="403">
        <v>916</v>
      </c>
      <c r="AE16" s="403">
        <v>499</v>
      </c>
      <c r="AF16" s="403">
        <v>311</v>
      </c>
      <c r="AG16" s="403">
        <v>810</v>
      </c>
      <c r="AH16" s="396">
        <v>0.86933797909407662</v>
      </c>
      <c r="AI16" s="396">
        <v>0.90935672514619881</v>
      </c>
      <c r="AJ16" s="396">
        <v>0.88427947598253276</v>
      </c>
      <c r="AK16" s="403">
        <v>499</v>
      </c>
      <c r="AL16" s="403">
        <v>311</v>
      </c>
      <c r="AM16" s="403">
        <v>810</v>
      </c>
      <c r="AN16" s="398">
        <v>365</v>
      </c>
      <c r="AO16" s="400">
        <v>236</v>
      </c>
      <c r="AP16" s="400">
        <v>601</v>
      </c>
      <c r="AQ16" s="396">
        <v>0.73146292585170336</v>
      </c>
      <c r="AR16" s="396">
        <v>0.7588424437299035</v>
      </c>
      <c r="AS16" s="396">
        <v>0.74197530864197536</v>
      </c>
      <c r="AT16" s="412"/>
      <c r="AU16" s="412"/>
      <c r="AV16" s="412"/>
      <c r="AW16" s="403">
        <v>178</v>
      </c>
      <c r="AX16" s="403">
        <v>115</v>
      </c>
      <c r="AY16" s="403">
        <v>293</v>
      </c>
      <c r="AZ16" s="403">
        <v>148</v>
      </c>
      <c r="BA16" s="403">
        <v>99</v>
      </c>
      <c r="BB16" s="403">
        <v>247</v>
      </c>
      <c r="BC16" s="396">
        <v>0.8314606741573034</v>
      </c>
      <c r="BD16" s="396">
        <v>0.86086956521739133</v>
      </c>
      <c r="BE16" s="396">
        <v>0.84300341296928327</v>
      </c>
      <c r="BF16" s="403">
        <v>148</v>
      </c>
      <c r="BG16" s="403">
        <v>99</v>
      </c>
      <c r="BH16" s="403">
        <v>247</v>
      </c>
      <c r="BI16" s="398">
        <v>108</v>
      </c>
      <c r="BJ16" s="398">
        <v>76</v>
      </c>
      <c r="BK16" s="398">
        <v>184</v>
      </c>
      <c r="BL16" s="396">
        <v>0.72972972972972971</v>
      </c>
      <c r="BM16" s="396">
        <v>0.76767676767676762</v>
      </c>
      <c r="BN16" s="396">
        <v>0.74493927125506076</v>
      </c>
      <c r="BO16" s="442"/>
    </row>
    <row r="17" spans="1:66" ht="27" customHeight="1" x14ac:dyDescent="0.25">
      <c r="A17" s="571" t="s">
        <v>3</v>
      </c>
      <c r="B17" s="572"/>
      <c r="C17" s="573"/>
      <c r="D17" s="384">
        <v>243695</v>
      </c>
      <c r="E17" s="384">
        <v>207005</v>
      </c>
      <c r="F17" s="384">
        <v>450700</v>
      </c>
      <c r="G17" s="384">
        <v>216891</v>
      </c>
      <c r="H17" s="384">
        <v>177254</v>
      </c>
      <c r="I17" s="384">
        <v>394145</v>
      </c>
      <c r="J17" s="384">
        <v>99454</v>
      </c>
      <c r="K17" s="384">
        <v>86242</v>
      </c>
      <c r="L17" s="384">
        <v>185696</v>
      </c>
      <c r="M17" s="389">
        <v>0.45854369245381321</v>
      </c>
      <c r="N17" s="389">
        <v>0.48654473241788621</v>
      </c>
      <c r="O17" s="389">
        <v>0.47113625696127059</v>
      </c>
      <c r="P17" s="384">
        <v>99454</v>
      </c>
      <c r="Q17" s="384">
        <v>86242</v>
      </c>
      <c r="R17" s="384">
        <v>185696</v>
      </c>
      <c r="S17" s="384">
        <v>45520</v>
      </c>
      <c r="T17" s="384">
        <v>46225</v>
      </c>
      <c r="U17" s="384">
        <v>91745</v>
      </c>
      <c r="V17" s="389">
        <v>0.45769903674060369</v>
      </c>
      <c r="W17" s="389">
        <v>0.53599174416177731</v>
      </c>
      <c r="X17" s="389">
        <v>0.49406018438738586</v>
      </c>
      <c r="Y17" s="384">
        <v>35128</v>
      </c>
      <c r="Z17" s="384">
        <v>26943</v>
      </c>
      <c r="AA17" s="384">
        <v>62071</v>
      </c>
      <c r="AB17" s="384">
        <v>37889</v>
      </c>
      <c r="AC17" s="384">
        <v>28742</v>
      </c>
      <c r="AD17" s="384">
        <v>66631</v>
      </c>
      <c r="AE17" s="384">
        <v>15744</v>
      </c>
      <c r="AF17" s="384">
        <v>12975</v>
      </c>
      <c r="AG17" s="384">
        <v>28719</v>
      </c>
      <c r="AH17" s="389">
        <v>0.41552957322705797</v>
      </c>
      <c r="AI17" s="389">
        <v>0.45142996312017258</v>
      </c>
      <c r="AJ17" s="389">
        <v>0.43101559334243822</v>
      </c>
      <c r="AK17" s="388">
        <v>15744</v>
      </c>
      <c r="AL17" s="388">
        <v>12975</v>
      </c>
      <c r="AM17" s="388">
        <v>28719</v>
      </c>
      <c r="AN17" s="388">
        <v>5018</v>
      </c>
      <c r="AO17" s="388">
        <v>4557</v>
      </c>
      <c r="AP17" s="388">
        <v>9575</v>
      </c>
      <c r="AQ17" s="389">
        <v>0.31872459349593496</v>
      </c>
      <c r="AR17" s="389">
        <v>0.35121387283236993</v>
      </c>
      <c r="AS17" s="389">
        <v>0.33340297364114352</v>
      </c>
      <c r="AT17" s="443">
        <v>22622</v>
      </c>
      <c r="AU17" s="443">
        <v>21139</v>
      </c>
      <c r="AV17" s="443">
        <v>43758</v>
      </c>
      <c r="AW17" s="443">
        <v>23640</v>
      </c>
      <c r="AX17" s="443">
        <v>21340</v>
      </c>
      <c r="AY17" s="443">
        <v>44980</v>
      </c>
      <c r="AZ17" s="443">
        <v>9870</v>
      </c>
      <c r="BA17" s="443">
        <v>9243</v>
      </c>
      <c r="BB17" s="443">
        <v>19113</v>
      </c>
      <c r="BC17" s="389">
        <v>0.41751269035532995</v>
      </c>
      <c r="BD17" s="389">
        <v>0.43313027179006558</v>
      </c>
      <c r="BE17" s="389">
        <v>0.42492218763895062</v>
      </c>
      <c r="BF17" s="388">
        <v>9870</v>
      </c>
      <c r="BG17" s="388">
        <v>9243</v>
      </c>
      <c r="BH17" s="388">
        <v>19113</v>
      </c>
      <c r="BI17" s="385">
        <v>3633</v>
      </c>
      <c r="BJ17" s="385">
        <v>3597</v>
      </c>
      <c r="BK17" s="385">
        <v>7230</v>
      </c>
      <c r="BL17" s="389">
        <v>0.3680851063829787</v>
      </c>
      <c r="BM17" s="389">
        <v>0.38915936384290817</v>
      </c>
      <c r="BN17" s="389">
        <v>0.378276565688275</v>
      </c>
    </row>
    <row r="18" spans="1:66" x14ac:dyDescent="0.25">
      <c r="D18" s="466" t="s">
        <v>228</v>
      </c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 t="s">
        <v>228</v>
      </c>
      <c r="Q18" s="466"/>
      <c r="R18" s="466"/>
      <c r="S18" s="466"/>
      <c r="T18" s="466"/>
      <c r="U18" s="466"/>
      <c r="V18" s="466"/>
      <c r="W18" s="466"/>
      <c r="X18" s="466"/>
      <c r="Y18" s="466" t="s">
        <v>228</v>
      </c>
      <c r="Z18" s="466"/>
      <c r="AA18" s="466"/>
      <c r="AB18" s="466"/>
      <c r="AC18" s="466"/>
      <c r="AD18" s="466"/>
      <c r="AE18" s="466"/>
      <c r="AF18" s="466"/>
      <c r="AG18" s="466"/>
      <c r="AH18" s="466"/>
      <c r="AI18" s="466"/>
      <c r="AJ18" s="466"/>
      <c r="AK18" s="466" t="s">
        <v>228</v>
      </c>
      <c r="AL18" s="466"/>
      <c r="AM18" s="466"/>
      <c r="AN18" s="466"/>
      <c r="AO18" s="466"/>
      <c r="AP18" s="466"/>
      <c r="AQ18" s="466"/>
      <c r="AR18" s="466"/>
      <c r="AS18" s="466"/>
      <c r="AT18" s="466" t="s">
        <v>228</v>
      </c>
      <c r="AU18" s="466"/>
      <c r="AV18" s="466"/>
      <c r="AW18" s="466"/>
      <c r="AX18" s="466"/>
      <c r="AY18" s="466"/>
      <c r="AZ18" s="466"/>
      <c r="BA18" s="466"/>
      <c r="BB18" s="466"/>
      <c r="BC18" s="466"/>
      <c r="BD18" s="466"/>
      <c r="BE18" s="466"/>
      <c r="BF18" s="466" t="s">
        <v>228</v>
      </c>
      <c r="BG18" s="466"/>
      <c r="BH18" s="466"/>
      <c r="BI18" s="466"/>
      <c r="BJ18" s="466"/>
      <c r="BK18" s="466"/>
      <c r="BL18" s="466"/>
      <c r="BM18" s="466"/>
      <c r="BN18" s="466"/>
    </row>
  </sheetData>
  <mergeCells count="58">
    <mergeCell ref="AK5:AM6"/>
    <mergeCell ref="AN5:AP5"/>
    <mergeCell ref="AQ5:AS5"/>
    <mergeCell ref="AN6:AP6"/>
    <mergeCell ref="AQ6:AS6"/>
    <mergeCell ref="S6:U6"/>
    <mergeCell ref="V6:X6"/>
    <mergeCell ref="P4:X4"/>
    <mergeCell ref="P5:R6"/>
    <mergeCell ref="P1:X1"/>
    <mergeCell ref="P2:X2"/>
    <mergeCell ref="S5:U5"/>
    <mergeCell ref="V5:X5"/>
    <mergeCell ref="P3:X3"/>
    <mergeCell ref="D1:O1"/>
    <mergeCell ref="D3:O3"/>
    <mergeCell ref="D5:F6"/>
    <mergeCell ref="G5:I6"/>
    <mergeCell ref="D4:O4"/>
    <mergeCell ref="D2:O2"/>
    <mergeCell ref="Y4:AJ4"/>
    <mergeCell ref="AT4:BE4"/>
    <mergeCell ref="AT1:BE1"/>
    <mergeCell ref="Y2:AJ2"/>
    <mergeCell ref="AT2:BE2"/>
    <mergeCell ref="Y1:AJ1"/>
    <mergeCell ref="Y3:AJ3"/>
    <mergeCell ref="AK1:AS1"/>
    <mergeCell ref="AK2:AS2"/>
    <mergeCell ref="AK3:AS3"/>
    <mergeCell ref="AK4:AS4"/>
    <mergeCell ref="BF1:BN1"/>
    <mergeCell ref="BF2:BN2"/>
    <mergeCell ref="AW5:AY6"/>
    <mergeCell ref="AT3:BE3"/>
    <mergeCell ref="BF3:BN3"/>
    <mergeCell ref="BF4:BN4"/>
    <mergeCell ref="BF5:BH6"/>
    <mergeCell ref="BI5:BK5"/>
    <mergeCell ref="BL5:BN5"/>
    <mergeCell ref="BI6:BK6"/>
    <mergeCell ref="BL6:BN6"/>
    <mergeCell ref="A17:C17"/>
    <mergeCell ref="AZ5:BE5"/>
    <mergeCell ref="J6:L6"/>
    <mergeCell ref="M6:O6"/>
    <mergeCell ref="AE6:AG6"/>
    <mergeCell ref="AH6:AJ6"/>
    <mergeCell ref="AZ6:BB6"/>
    <mergeCell ref="BC6:BE6"/>
    <mergeCell ref="J5:O5"/>
    <mergeCell ref="Y5:AA6"/>
    <mergeCell ref="AB5:AD6"/>
    <mergeCell ref="AE5:AJ5"/>
    <mergeCell ref="AT5:AV6"/>
    <mergeCell ref="A1:A7"/>
    <mergeCell ref="B1:B7"/>
    <mergeCell ref="C1:C7"/>
  </mergeCells>
  <printOptions horizontalCentered="1"/>
  <pageMargins left="0.70866141732283505" right="0.70866141732283505" top="0.74803149606299202" bottom="0.74803149606299202" header="0.31496062992126" footer="0.31496062992126"/>
  <pageSetup paperSize="9" scale="84" firstPageNumber="95" orientation="landscape" useFirstPageNumber="1" r:id="rId1"/>
  <headerFooter>
    <oddFooter>Page &amp;P</oddFooter>
  </headerFooter>
  <colBreaks count="4" manualBreakCount="4">
    <brk id="15" max="17" man="1"/>
    <brk id="24" max="1048575" man="1"/>
    <brk id="36" max="17" man="1"/>
    <brk id="45" max="1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56"/>
  <sheetViews>
    <sheetView tabSelected="1" view="pageBreakPreview" topLeftCell="A19" zoomScale="60" workbookViewId="0">
      <selection activeCell="Z49" sqref="Z49"/>
    </sheetView>
  </sheetViews>
  <sheetFormatPr defaultRowHeight="15.75" x14ac:dyDescent="0.25"/>
  <cols>
    <col min="1" max="1" width="9.28515625" style="435" bestFit="1" customWidth="1"/>
    <col min="2" max="2" width="11.85546875" style="435" customWidth="1"/>
    <col min="3" max="3" width="14.85546875" style="435" bestFit="1" customWidth="1"/>
    <col min="4" max="4" width="14" style="435" bestFit="1" customWidth="1"/>
    <col min="5" max="5" width="15.42578125" style="435" bestFit="1" customWidth="1"/>
    <col min="6" max="6" width="14.85546875" style="435" bestFit="1" customWidth="1"/>
    <col min="7" max="7" width="14" style="435" bestFit="1" customWidth="1"/>
    <col min="8" max="8" width="14.85546875" style="435" bestFit="1" customWidth="1"/>
    <col min="9" max="9" width="13" style="435" bestFit="1" customWidth="1"/>
    <col min="10" max="10" width="13.42578125" style="435" bestFit="1" customWidth="1"/>
    <col min="11" max="11" width="14" style="435" bestFit="1" customWidth="1"/>
    <col min="12" max="12" width="13" style="435" bestFit="1" customWidth="1"/>
    <col min="13" max="13" width="13.42578125" style="435" bestFit="1" customWidth="1"/>
    <col min="14" max="14" width="14" style="435" bestFit="1" customWidth="1"/>
    <col min="15" max="15" width="12" style="435" customWidth="1"/>
    <col min="16" max="16" width="12.42578125" style="435" customWidth="1"/>
    <col min="17" max="17" width="13.42578125" style="435" bestFit="1" customWidth="1"/>
    <col min="18" max="19" width="11.85546875" style="435" bestFit="1" customWidth="1"/>
    <col min="20" max="20" width="13" style="435" bestFit="1" customWidth="1"/>
    <col min="21" max="16384" width="9.140625" style="435"/>
  </cols>
  <sheetData>
    <row r="1" spans="1:21" ht="19.5" customHeight="1" x14ac:dyDescent="0.25">
      <c r="A1" s="456"/>
      <c r="B1" s="456"/>
      <c r="C1" s="607" t="s">
        <v>418</v>
      </c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</row>
    <row r="2" spans="1:21" ht="19.5" customHeight="1" x14ac:dyDescent="0.25">
      <c r="A2" s="608" t="s">
        <v>218</v>
      </c>
      <c r="B2" s="608" t="s">
        <v>327</v>
      </c>
      <c r="C2" s="611" t="s">
        <v>188</v>
      </c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3"/>
    </row>
    <row r="3" spans="1:21" ht="19.5" customHeight="1" x14ac:dyDescent="0.25">
      <c r="A3" s="609"/>
      <c r="B3" s="609"/>
      <c r="C3" s="611" t="s">
        <v>219</v>
      </c>
      <c r="D3" s="612"/>
      <c r="E3" s="612"/>
      <c r="F3" s="612"/>
      <c r="G3" s="612"/>
      <c r="H3" s="613"/>
      <c r="I3" s="611" t="s">
        <v>220</v>
      </c>
      <c r="J3" s="612"/>
      <c r="K3" s="612"/>
      <c r="L3" s="612"/>
      <c r="M3" s="612"/>
      <c r="N3" s="613"/>
      <c r="O3" s="611" t="s">
        <v>221</v>
      </c>
      <c r="P3" s="612"/>
      <c r="Q3" s="612"/>
      <c r="R3" s="612"/>
      <c r="S3" s="612"/>
      <c r="T3" s="613"/>
    </row>
    <row r="4" spans="1:21" ht="19.5" customHeight="1" x14ac:dyDescent="0.25">
      <c r="A4" s="609"/>
      <c r="B4" s="609"/>
      <c r="C4" s="611" t="s">
        <v>5</v>
      </c>
      <c r="D4" s="612"/>
      <c r="E4" s="613"/>
      <c r="F4" s="611" t="s">
        <v>6</v>
      </c>
      <c r="G4" s="612"/>
      <c r="H4" s="613"/>
      <c r="I4" s="611" t="s">
        <v>5</v>
      </c>
      <c r="J4" s="612"/>
      <c r="K4" s="613"/>
      <c r="L4" s="611" t="s">
        <v>6</v>
      </c>
      <c r="M4" s="612"/>
      <c r="N4" s="613"/>
      <c r="O4" s="611" t="s">
        <v>5</v>
      </c>
      <c r="P4" s="612"/>
      <c r="Q4" s="613"/>
      <c r="R4" s="611" t="s">
        <v>6</v>
      </c>
      <c r="S4" s="612"/>
      <c r="T4" s="613"/>
    </row>
    <row r="5" spans="1:21" ht="19.5" customHeight="1" x14ac:dyDescent="0.25">
      <c r="A5" s="610"/>
      <c r="B5" s="610"/>
      <c r="C5" s="457" t="s">
        <v>43</v>
      </c>
      <c r="D5" s="457" t="s">
        <v>44</v>
      </c>
      <c r="E5" s="457" t="s">
        <v>3</v>
      </c>
      <c r="F5" s="457" t="s">
        <v>43</v>
      </c>
      <c r="G5" s="457" t="s">
        <v>44</v>
      </c>
      <c r="H5" s="457" t="s">
        <v>3</v>
      </c>
      <c r="I5" s="457" t="s">
        <v>43</v>
      </c>
      <c r="J5" s="457" t="s">
        <v>44</v>
      </c>
      <c r="K5" s="457" t="s">
        <v>3</v>
      </c>
      <c r="L5" s="457" t="s">
        <v>43</v>
      </c>
      <c r="M5" s="457" t="s">
        <v>44</v>
      </c>
      <c r="N5" s="457" t="s">
        <v>3</v>
      </c>
      <c r="O5" s="457" t="s">
        <v>43</v>
      </c>
      <c r="P5" s="457" t="s">
        <v>44</v>
      </c>
      <c r="Q5" s="457" t="s">
        <v>3</v>
      </c>
      <c r="R5" s="457" t="s">
        <v>43</v>
      </c>
      <c r="S5" s="457" t="s">
        <v>44</v>
      </c>
      <c r="T5" s="457" t="s">
        <v>3</v>
      </c>
    </row>
    <row r="6" spans="1:21" ht="19.5" customHeight="1" x14ac:dyDescent="0.25">
      <c r="A6" s="458">
        <v>1</v>
      </c>
      <c r="B6" s="458">
        <v>2</v>
      </c>
      <c r="C6" s="458">
        <v>3</v>
      </c>
      <c r="D6" s="458">
        <v>4</v>
      </c>
      <c r="E6" s="458">
        <v>5</v>
      </c>
      <c r="F6" s="458">
        <v>6</v>
      </c>
      <c r="G6" s="458">
        <v>7</v>
      </c>
      <c r="H6" s="458">
        <v>8</v>
      </c>
      <c r="I6" s="458">
        <v>9</v>
      </c>
      <c r="J6" s="458">
        <v>10</v>
      </c>
      <c r="K6" s="458">
        <v>11</v>
      </c>
      <c r="L6" s="458">
        <v>12</v>
      </c>
      <c r="M6" s="458">
        <v>13</v>
      </c>
      <c r="N6" s="458">
        <v>14</v>
      </c>
      <c r="O6" s="458">
        <v>15</v>
      </c>
      <c r="P6" s="458">
        <v>16</v>
      </c>
      <c r="Q6" s="458">
        <v>17</v>
      </c>
      <c r="R6" s="458">
        <v>18</v>
      </c>
      <c r="S6" s="458">
        <v>19</v>
      </c>
      <c r="T6" s="458">
        <v>20</v>
      </c>
    </row>
    <row r="7" spans="1:21" ht="19.5" customHeight="1" x14ac:dyDescent="0.25">
      <c r="A7" s="444">
        <v>2012</v>
      </c>
      <c r="B7" s="445">
        <v>34</v>
      </c>
      <c r="C7" s="446">
        <v>9939916</v>
      </c>
      <c r="D7" s="446">
        <v>8086742</v>
      </c>
      <c r="E7" s="446">
        <v>18026658</v>
      </c>
      <c r="F7" s="446">
        <v>7430776</v>
      </c>
      <c r="G7" s="446">
        <v>6334551</v>
      </c>
      <c r="H7" s="446">
        <v>13765327</v>
      </c>
      <c r="I7" s="446">
        <v>1596559</v>
      </c>
      <c r="J7" s="446">
        <v>1285426</v>
      </c>
      <c r="K7" s="446">
        <v>2881985</v>
      </c>
      <c r="L7" s="446">
        <v>1097023</v>
      </c>
      <c r="M7" s="446">
        <v>932159</v>
      </c>
      <c r="N7" s="446">
        <v>2029182</v>
      </c>
      <c r="O7" s="446">
        <v>638691</v>
      </c>
      <c r="P7" s="446">
        <v>547182</v>
      </c>
      <c r="Q7" s="446">
        <v>1185873</v>
      </c>
      <c r="R7" s="446">
        <v>395747</v>
      </c>
      <c r="S7" s="446">
        <v>334876</v>
      </c>
      <c r="T7" s="446">
        <v>730623</v>
      </c>
      <c r="U7" s="459"/>
    </row>
    <row r="8" spans="1:21" ht="19.5" customHeight="1" x14ac:dyDescent="0.25">
      <c r="A8" s="447">
        <v>2013</v>
      </c>
      <c r="B8" s="445">
        <v>35</v>
      </c>
      <c r="C8" s="446">
        <v>10507044</v>
      </c>
      <c r="D8" s="446">
        <v>8617208</v>
      </c>
      <c r="E8" s="446">
        <v>19124252</v>
      </c>
      <c r="F8" s="446">
        <v>8037590</v>
      </c>
      <c r="G8" s="446">
        <v>6932924</v>
      </c>
      <c r="H8" s="446">
        <v>14970514</v>
      </c>
      <c r="I8" s="446">
        <v>1765636</v>
      </c>
      <c r="J8" s="446">
        <v>1459662</v>
      </c>
      <c r="K8" s="446">
        <v>3225298</v>
      </c>
      <c r="L8" s="446">
        <v>1232058</v>
      </c>
      <c r="M8" s="446">
        <v>1076244</v>
      </c>
      <c r="N8" s="446">
        <v>2308302</v>
      </c>
      <c r="O8" s="446">
        <v>745569</v>
      </c>
      <c r="P8" s="446">
        <v>656963</v>
      </c>
      <c r="Q8" s="446">
        <v>1402532</v>
      </c>
      <c r="R8" s="446">
        <v>480652</v>
      </c>
      <c r="S8" s="446">
        <v>426303</v>
      </c>
      <c r="T8" s="446">
        <v>906955</v>
      </c>
      <c r="U8" s="459"/>
    </row>
    <row r="9" spans="1:21" ht="19.5" customHeight="1" x14ac:dyDescent="0.25">
      <c r="A9" s="447">
        <v>2014</v>
      </c>
      <c r="B9" s="445">
        <v>35</v>
      </c>
      <c r="C9" s="446">
        <v>10229689</v>
      </c>
      <c r="D9" s="446">
        <v>8625318</v>
      </c>
      <c r="E9" s="446">
        <v>18855007</v>
      </c>
      <c r="F9" s="446">
        <v>8041716</v>
      </c>
      <c r="G9" s="446">
        <v>7053738</v>
      </c>
      <c r="H9" s="446">
        <v>15095454</v>
      </c>
      <c r="I9" s="446">
        <v>1756049</v>
      </c>
      <c r="J9" s="446">
        <v>1485264</v>
      </c>
      <c r="K9" s="446">
        <v>3241313</v>
      </c>
      <c r="L9" s="446">
        <v>1268455</v>
      </c>
      <c r="M9" s="446">
        <v>1124169</v>
      </c>
      <c r="N9" s="446">
        <v>2392624</v>
      </c>
      <c r="O9" s="446">
        <v>757751</v>
      </c>
      <c r="P9" s="446">
        <v>694604</v>
      </c>
      <c r="Q9" s="446">
        <v>1452355</v>
      </c>
      <c r="R9" s="446">
        <v>501712</v>
      </c>
      <c r="S9" s="446">
        <v>450920</v>
      </c>
      <c r="T9" s="446">
        <v>952632</v>
      </c>
      <c r="U9" s="459"/>
    </row>
    <row r="10" spans="1:21" ht="19.5" customHeight="1" x14ac:dyDescent="0.25">
      <c r="A10" s="447">
        <v>2015</v>
      </c>
      <c r="B10" s="445">
        <v>35</v>
      </c>
      <c r="C10" s="446">
        <v>10078588</v>
      </c>
      <c r="D10" s="446">
        <v>8708092</v>
      </c>
      <c r="E10" s="446">
        <v>18786680</v>
      </c>
      <c r="F10" s="446">
        <v>7830993</v>
      </c>
      <c r="G10" s="446">
        <v>7038908</v>
      </c>
      <c r="H10" s="446">
        <v>14869901</v>
      </c>
      <c r="I10" s="446">
        <v>1728900</v>
      </c>
      <c r="J10" s="446">
        <v>1495210</v>
      </c>
      <c r="K10" s="446">
        <v>3224110</v>
      </c>
      <c r="L10" s="446">
        <v>1244282</v>
      </c>
      <c r="M10" s="446">
        <v>1119501</v>
      </c>
      <c r="N10" s="446">
        <v>2363783</v>
      </c>
      <c r="O10" s="446">
        <v>756299</v>
      </c>
      <c r="P10" s="446">
        <v>711597</v>
      </c>
      <c r="Q10" s="446">
        <v>1467896</v>
      </c>
      <c r="R10" s="446">
        <v>491790</v>
      </c>
      <c r="S10" s="446">
        <v>449720</v>
      </c>
      <c r="T10" s="446">
        <v>941510</v>
      </c>
      <c r="U10" s="459"/>
    </row>
    <row r="11" spans="1:21" ht="19.5" customHeight="1" x14ac:dyDescent="0.25">
      <c r="A11" s="447">
        <v>2016</v>
      </c>
      <c r="B11" s="448">
        <v>42</v>
      </c>
      <c r="C11" s="446">
        <v>10446940</v>
      </c>
      <c r="D11" s="446">
        <v>8948878</v>
      </c>
      <c r="E11" s="446">
        <v>19395818</v>
      </c>
      <c r="F11" s="446">
        <v>8118493</v>
      </c>
      <c r="G11" s="446">
        <v>7140555</v>
      </c>
      <c r="H11" s="446">
        <v>15259048</v>
      </c>
      <c r="I11" s="446">
        <v>1840866</v>
      </c>
      <c r="J11" s="446">
        <v>1590816</v>
      </c>
      <c r="K11" s="446">
        <v>3431682</v>
      </c>
      <c r="L11" s="446">
        <v>1324673</v>
      </c>
      <c r="M11" s="446">
        <v>1187053</v>
      </c>
      <c r="N11" s="446">
        <v>2511726</v>
      </c>
      <c r="O11" s="446">
        <v>779133</v>
      </c>
      <c r="P11" s="446">
        <v>734656</v>
      </c>
      <c r="Q11" s="446">
        <v>1513789</v>
      </c>
      <c r="R11" s="446">
        <v>507673</v>
      </c>
      <c r="S11" s="446">
        <v>476877</v>
      </c>
      <c r="T11" s="446">
        <v>984550</v>
      </c>
      <c r="U11" s="459"/>
    </row>
    <row r="12" spans="1:21" ht="19.5" customHeight="1" x14ac:dyDescent="0.25">
      <c r="A12" s="447">
        <v>2017</v>
      </c>
      <c r="B12" s="445">
        <v>41</v>
      </c>
      <c r="C12" s="446">
        <v>10348879</v>
      </c>
      <c r="D12" s="446">
        <v>8980409</v>
      </c>
      <c r="E12" s="446">
        <v>19329288</v>
      </c>
      <c r="F12" s="446">
        <v>7875107</v>
      </c>
      <c r="G12" s="446">
        <v>7008989</v>
      </c>
      <c r="H12" s="446">
        <v>14884096</v>
      </c>
      <c r="I12" s="446">
        <v>1821719</v>
      </c>
      <c r="J12" s="446">
        <v>1619061</v>
      </c>
      <c r="K12" s="446">
        <v>3440780</v>
      </c>
      <c r="L12" s="446">
        <v>1268786</v>
      </c>
      <c r="M12" s="446">
        <v>1163597</v>
      </c>
      <c r="N12" s="446">
        <v>2432383</v>
      </c>
      <c r="O12" s="446">
        <v>760652</v>
      </c>
      <c r="P12" s="446">
        <v>734458</v>
      </c>
      <c r="Q12" s="446">
        <v>1495110</v>
      </c>
      <c r="R12" s="446">
        <v>510976</v>
      </c>
      <c r="S12" s="446">
        <v>493145</v>
      </c>
      <c r="T12" s="446">
        <v>1004121</v>
      </c>
      <c r="U12" s="459"/>
    </row>
    <row r="13" spans="1:21" ht="19.5" customHeight="1" x14ac:dyDescent="0.25">
      <c r="A13" s="447" t="s">
        <v>400</v>
      </c>
      <c r="B13" s="445">
        <v>42</v>
      </c>
      <c r="C13" s="446">
        <v>10189637</v>
      </c>
      <c r="D13" s="446">
        <v>8959443</v>
      </c>
      <c r="E13" s="446">
        <v>19151834</v>
      </c>
      <c r="F13" s="446">
        <v>7650247</v>
      </c>
      <c r="G13" s="446">
        <v>6912784</v>
      </c>
      <c r="H13" s="446">
        <v>14996277</v>
      </c>
      <c r="I13" s="446">
        <v>1786065</v>
      </c>
      <c r="J13" s="446">
        <v>1595029</v>
      </c>
      <c r="K13" s="446">
        <v>3425079</v>
      </c>
      <c r="L13" s="446">
        <v>1278347</v>
      </c>
      <c r="M13" s="446">
        <v>1161297</v>
      </c>
      <c r="N13" s="446">
        <v>2481517</v>
      </c>
      <c r="O13" s="446">
        <v>746556</v>
      </c>
      <c r="P13" s="446">
        <v>726811</v>
      </c>
      <c r="Q13" s="446">
        <v>1481475</v>
      </c>
      <c r="R13" s="446">
        <v>502088</v>
      </c>
      <c r="S13" s="446">
        <v>493657</v>
      </c>
      <c r="T13" s="446">
        <v>1002800</v>
      </c>
      <c r="U13" s="459"/>
    </row>
    <row r="14" spans="1:21" ht="19.5" customHeight="1" x14ac:dyDescent="0.25">
      <c r="A14" s="447">
        <v>2019</v>
      </c>
      <c r="B14" s="445">
        <v>42</v>
      </c>
      <c r="C14" s="446">
        <v>9850942</v>
      </c>
      <c r="D14" s="446">
        <v>8843362</v>
      </c>
      <c r="E14" s="446">
        <v>18694304</v>
      </c>
      <c r="F14" s="446">
        <v>7752633</v>
      </c>
      <c r="G14" s="446">
        <v>7299656</v>
      </c>
      <c r="H14" s="446">
        <v>15052289</v>
      </c>
      <c r="I14" s="446">
        <v>1709252</v>
      </c>
      <c r="J14" s="446">
        <v>1568853</v>
      </c>
      <c r="K14" s="446">
        <v>3278105</v>
      </c>
      <c r="L14" s="446">
        <v>1259773</v>
      </c>
      <c r="M14" s="446">
        <v>1210476</v>
      </c>
      <c r="N14" s="446">
        <v>2470249</v>
      </c>
      <c r="O14" s="446">
        <v>723695</v>
      </c>
      <c r="P14" s="446">
        <v>719977</v>
      </c>
      <c r="Q14" s="446">
        <v>1443672</v>
      </c>
      <c r="R14" s="446">
        <v>486474</v>
      </c>
      <c r="S14" s="446">
        <v>500088</v>
      </c>
      <c r="T14" s="446">
        <v>986562</v>
      </c>
      <c r="U14" s="459"/>
    </row>
    <row r="15" spans="1:21" ht="19.5" customHeight="1" x14ac:dyDescent="0.25">
      <c r="A15" s="449">
        <v>2020</v>
      </c>
      <c r="B15" s="465">
        <v>42</v>
      </c>
      <c r="C15" s="451">
        <v>9835651</v>
      </c>
      <c r="D15" s="451">
        <v>8843878</v>
      </c>
      <c r="E15" s="451">
        <v>18679529</v>
      </c>
      <c r="F15" s="451">
        <v>8161996</v>
      </c>
      <c r="G15" s="451">
        <v>7606198</v>
      </c>
      <c r="H15" s="451">
        <v>15768194</v>
      </c>
      <c r="I15" s="451">
        <v>1702003</v>
      </c>
      <c r="J15" s="451">
        <v>1577973</v>
      </c>
      <c r="K15" s="451">
        <v>3279976</v>
      </c>
      <c r="L15" s="451">
        <v>1360466</v>
      </c>
      <c r="M15" s="451">
        <v>1301579</v>
      </c>
      <c r="N15" s="451">
        <v>2662045</v>
      </c>
      <c r="O15" s="451">
        <v>717816</v>
      </c>
      <c r="P15" s="451">
        <v>716716</v>
      </c>
      <c r="Q15" s="451">
        <v>1434532</v>
      </c>
      <c r="R15" s="451">
        <v>517958</v>
      </c>
      <c r="S15" s="451">
        <v>531278</v>
      </c>
      <c r="T15" s="451">
        <v>1049236</v>
      </c>
      <c r="U15" s="459"/>
    </row>
    <row r="16" spans="1:21" ht="19.5" customHeight="1" x14ac:dyDescent="0.25">
      <c r="A16" s="449">
        <v>2021</v>
      </c>
      <c r="B16" s="465">
        <v>42</v>
      </c>
      <c r="C16" s="451">
        <v>10282178</v>
      </c>
      <c r="D16" s="451">
        <v>9078733</v>
      </c>
      <c r="E16" s="451">
        <v>19360911</v>
      </c>
      <c r="F16" s="451">
        <v>10085329</v>
      </c>
      <c r="G16" s="451">
        <v>8888551</v>
      </c>
      <c r="H16" s="451">
        <v>18973880</v>
      </c>
      <c r="I16" s="451">
        <v>1808475</v>
      </c>
      <c r="J16" s="451">
        <v>1621653</v>
      </c>
      <c r="K16" s="451">
        <v>3430128</v>
      </c>
      <c r="L16" s="451">
        <v>1771675</v>
      </c>
      <c r="M16" s="451">
        <v>1582020</v>
      </c>
      <c r="N16" s="451">
        <v>3353695</v>
      </c>
      <c r="O16" s="451">
        <v>793622</v>
      </c>
      <c r="P16" s="451">
        <v>778915</v>
      </c>
      <c r="Q16" s="451">
        <v>1572537</v>
      </c>
      <c r="R16" s="451">
        <v>766323</v>
      </c>
      <c r="S16" s="451">
        <v>752042</v>
      </c>
      <c r="T16" s="451">
        <v>1518365</v>
      </c>
      <c r="U16" s="459"/>
    </row>
    <row r="17" spans="1:21" ht="19.5" customHeight="1" x14ac:dyDescent="0.25">
      <c r="A17" s="449">
        <v>2022</v>
      </c>
      <c r="B17" s="465">
        <v>42</v>
      </c>
      <c r="C17" s="451">
        <v>9766870</v>
      </c>
      <c r="D17" s="451">
        <v>8829794</v>
      </c>
      <c r="E17" s="451">
        <v>18596664</v>
      </c>
      <c r="F17" s="451">
        <v>8178331</v>
      </c>
      <c r="G17" s="451">
        <v>7670644</v>
      </c>
      <c r="H17" s="451">
        <v>15848975</v>
      </c>
      <c r="I17" s="451">
        <v>1589517</v>
      </c>
      <c r="J17" s="451">
        <v>1424046</v>
      </c>
      <c r="K17" s="451">
        <v>3013563</v>
      </c>
      <c r="L17" s="451">
        <v>1241431</v>
      </c>
      <c r="M17" s="451">
        <v>1173763</v>
      </c>
      <c r="N17" s="451">
        <v>2415194</v>
      </c>
      <c r="O17" s="451">
        <v>619870</v>
      </c>
      <c r="P17" s="451">
        <v>629833</v>
      </c>
      <c r="Q17" s="451">
        <v>1249703</v>
      </c>
      <c r="R17" s="451">
        <v>455978</v>
      </c>
      <c r="S17" s="451">
        <v>492115</v>
      </c>
      <c r="T17" s="451">
        <v>948093</v>
      </c>
      <c r="U17" s="459"/>
    </row>
    <row r="18" spans="1:21" ht="19.5" customHeight="1" x14ac:dyDescent="0.25">
      <c r="A18" s="449"/>
      <c r="B18" s="465"/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9"/>
    </row>
    <row r="19" spans="1:21" ht="19.5" customHeight="1" x14ac:dyDescent="0.25">
      <c r="A19" s="449"/>
      <c r="B19" s="465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</row>
    <row r="20" spans="1:21" ht="27" customHeight="1" x14ac:dyDescent="0.25">
      <c r="A20" s="398"/>
      <c r="B20" s="460"/>
      <c r="C20" s="604" t="s">
        <v>419</v>
      </c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605"/>
      <c r="S20" s="605"/>
      <c r="T20" s="605"/>
    </row>
    <row r="21" spans="1:21" ht="19.5" customHeight="1" x14ac:dyDescent="0.25">
      <c r="A21" s="608" t="s">
        <v>218</v>
      </c>
      <c r="B21" s="608" t="s">
        <v>327</v>
      </c>
      <c r="C21" s="611" t="s">
        <v>188</v>
      </c>
      <c r="D21" s="612"/>
      <c r="E21" s="612"/>
      <c r="F21" s="612"/>
      <c r="G21" s="612"/>
      <c r="H21" s="612"/>
      <c r="I21" s="612"/>
      <c r="J21" s="612"/>
      <c r="K21" s="612"/>
      <c r="L21" s="612"/>
      <c r="M21" s="612"/>
      <c r="N21" s="612"/>
      <c r="O21" s="612"/>
      <c r="P21" s="612"/>
      <c r="Q21" s="612"/>
      <c r="R21" s="612"/>
      <c r="S21" s="612"/>
      <c r="T21" s="613"/>
    </row>
    <row r="22" spans="1:21" ht="19.5" customHeight="1" x14ac:dyDescent="0.25">
      <c r="A22" s="609"/>
      <c r="B22" s="609"/>
      <c r="C22" s="611" t="s">
        <v>219</v>
      </c>
      <c r="D22" s="612"/>
      <c r="E22" s="612"/>
      <c r="F22" s="612"/>
      <c r="G22" s="612"/>
      <c r="H22" s="613"/>
      <c r="I22" s="611" t="s">
        <v>220</v>
      </c>
      <c r="J22" s="612"/>
      <c r="K22" s="612"/>
      <c r="L22" s="612"/>
      <c r="M22" s="612"/>
      <c r="N22" s="613"/>
      <c r="O22" s="611" t="s">
        <v>221</v>
      </c>
      <c r="P22" s="612"/>
      <c r="Q22" s="612"/>
      <c r="R22" s="612"/>
      <c r="S22" s="612"/>
      <c r="T22" s="613"/>
    </row>
    <row r="23" spans="1:21" ht="19.5" customHeight="1" x14ac:dyDescent="0.25">
      <c r="A23" s="609"/>
      <c r="B23" s="609"/>
      <c r="C23" s="611" t="s">
        <v>5</v>
      </c>
      <c r="D23" s="612"/>
      <c r="E23" s="613"/>
      <c r="F23" s="611" t="s">
        <v>6</v>
      </c>
      <c r="G23" s="612"/>
      <c r="H23" s="613"/>
      <c r="I23" s="611" t="s">
        <v>5</v>
      </c>
      <c r="J23" s="612"/>
      <c r="K23" s="613"/>
      <c r="L23" s="611" t="s">
        <v>6</v>
      </c>
      <c r="M23" s="612"/>
      <c r="N23" s="613"/>
      <c r="O23" s="611" t="s">
        <v>5</v>
      </c>
      <c r="P23" s="612"/>
      <c r="Q23" s="613"/>
      <c r="R23" s="611" t="s">
        <v>6</v>
      </c>
      <c r="S23" s="612"/>
      <c r="T23" s="613"/>
    </row>
    <row r="24" spans="1:21" ht="19.5" customHeight="1" x14ac:dyDescent="0.25">
      <c r="A24" s="610"/>
      <c r="B24" s="610"/>
      <c r="C24" s="457" t="s">
        <v>43</v>
      </c>
      <c r="D24" s="457" t="s">
        <v>44</v>
      </c>
      <c r="E24" s="457" t="s">
        <v>3</v>
      </c>
      <c r="F24" s="457" t="s">
        <v>43</v>
      </c>
      <c r="G24" s="457" t="s">
        <v>44</v>
      </c>
      <c r="H24" s="457" t="s">
        <v>3</v>
      </c>
      <c r="I24" s="457" t="s">
        <v>43</v>
      </c>
      <c r="J24" s="457" t="s">
        <v>44</v>
      </c>
      <c r="K24" s="457" t="s">
        <v>3</v>
      </c>
      <c r="L24" s="457" t="s">
        <v>43</v>
      </c>
      <c r="M24" s="457" t="s">
        <v>44</v>
      </c>
      <c r="N24" s="457" t="s">
        <v>3</v>
      </c>
      <c r="O24" s="457" t="s">
        <v>43</v>
      </c>
      <c r="P24" s="457" t="s">
        <v>44</v>
      </c>
      <c r="Q24" s="457" t="s">
        <v>3</v>
      </c>
      <c r="R24" s="457" t="s">
        <v>43</v>
      </c>
      <c r="S24" s="457" t="s">
        <v>44</v>
      </c>
      <c r="T24" s="457" t="s">
        <v>3</v>
      </c>
    </row>
    <row r="25" spans="1:21" ht="19.5" customHeight="1" x14ac:dyDescent="0.25">
      <c r="A25" s="458">
        <v>1</v>
      </c>
      <c r="B25" s="458">
        <v>2</v>
      </c>
      <c r="C25" s="458">
        <v>3</v>
      </c>
      <c r="D25" s="458">
        <v>4</v>
      </c>
      <c r="E25" s="458">
        <v>5</v>
      </c>
      <c r="F25" s="458">
        <v>6</v>
      </c>
      <c r="G25" s="458">
        <v>7</v>
      </c>
      <c r="H25" s="458">
        <v>8</v>
      </c>
      <c r="I25" s="458">
        <v>9</v>
      </c>
      <c r="J25" s="458">
        <v>10</v>
      </c>
      <c r="K25" s="458">
        <v>11</v>
      </c>
      <c r="L25" s="458">
        <v>12</v>
      </c>
      <c r="M25" s="458">
        <v>13</v>
      </c>
      <c r="N25" s="458">
        <v>14</v>
      </c>
      <c r="O25" s="458">
        <v>15</v>
      </c>
      <c r="P25" s="458">
        <v>16</v>
      </c>
      <c r="Q25" s="458">
        <v>17</v>
      </c>
      <c r="R25" s="458">
        <v>18</v>
      </c>
      <c r="S25" s="458">
        <v>19</v>
      </c>
      <c r="T25" s="458">
        <v>20</v>
      </c>
    </row>
    <row r="26" spans="1:21" ht="19.5" customHeight="1" x14ac:dyDescent="0.25">
      <c r="A26" s="447">
        <v>2012</v>
      </c>
      <c r="B26" s="445">
        <v>6</v>
      </c>
      <c r="C26" s="446">
        <v>347228</v>
      </c>
      <c r="D26" s="446">
        <v>200891</v>
      </c>
      <c r="E26" s="446">
        <v>548119</v>
      </c>
      <c r="F26" s="446">
        <v>217754</v>
      </c>
      <c r="G26" s="446">
        <v>128039</v>
      </c>
      <c r="H26" s="446">
        <v>345793</v>
      </c>
      <c r="I26" s="446">
        <v>56716</v>
      </c>
      <c r="J26" s="446">
        <v>29791</v>
      </c>
      <c r="K26" s="446">
        <v>86507</v>
      </c>
      <c r="L26" s="446">
        <v>35086</v>
      </c>
      <c r="M26" s="446">
        <v>18274</v>
      </c>
      <c r="N26" s="446">
        <v>53360</v>
      </c>
      <c r="O26" s="446">
        <v>39167</v>
      </c>
      <c r="P26" s="446">
        <v>28097</v>
      </c>
      <c r="Q26" s="446">
        <v>67264</v>
      </c>
      <c r="R26" s="446">
        <v>21215</v>
      </c>
      <c r="S26" s="446">
        <v>17900</v>
      </c>
      <c r="T26" s="446">
        <v>39115</v>
      </c>
    </row>
    <row r="27" spans="1:21" ht="19.5" customHeight="1" x14ac:dyDescent="0.25">
      <c r="A27" s="447">
        <v>2013</v>
      </c>
      <c r="B27" s="445">
        <v>6</v>
      </c>
      <c r="C27" s="446">
        <v>397611</v>
      </c>
      <c r="D27" s="446">
        <v>212752</v>
      </c>
      <c r="E27" s="446">
        <v>610363</v>
      </c>
      <c r="F27" s="446">
        <v>220126</v>
      </c>
      <c r="G27" s="446">
        <v>128848</v>
      </c>
      <c r="H27" s="446">
        <v>348974</v>
      </c>
      <c r="I27" s="446">
        <v>60124</v>
      </c>
      <c r="J27" s="446">
        <v>29784</v>
      </c>
      <c r="K27" s="446">
        <v>89908</v>
      </c>
      <c r="L27" s="446">
        <v>33032</v>
      </c>
      <c r="M27" s="446">
        <v>16829</v>
      </c>
      <c r="N27" s="446">
        <v>49861</v>
      </c>
      <c r="O27" s="446">
        <v>41501</v>
      </c>
      <c r="P27" s="446">
        <v>34982</v>
      </c>
      <c r="Q27" s="446">
        <v>76483</v>
      </c>
      <c r="R27" s="446">
        <v>22331</v>
      </c>
      <c r="S27" s="446">
        <v>19759</v>
      </c>
      <c r="T27" s="446">
        <v>42090</v>
      </c>
    </row>
    <row r="28" spans="1:21" ht="19.5" customHeight="1" x14ac:dyDescent="0.25">
      <c r="A28" s="447">
        <v>2014</v>
      </c>
      <c r="B28" s="445">
        <v>6</v>
      </c>
      <c r="C28" s="446">
        <v>372178</v>
      </c>
      <c r="D28" s="446">
        <v>239081</v>
      </c>
      <c r="E28" s="446">
        <v>611259</v>
      </c>
      <c r="F28" s="446">
        <v>179739</v>
      </c>
      <c r="G28" s="446">
        <v>118181</v>
      </c>
      <c r="H28" s="446">
        <v>297920</v>
      </c>
      <c r="I28" s="446">
        <v>52681</v>
      </c>
      <c r="J28" s="446">
        <v>33237</v>
      </c>
      <c r="K28" s="446">
        <v>85918</v>
      </c>
      <c r="L28" s="446">
        <v>26293</v>
      </c>
      <c r="M28" s="446">
        <v>18021</v>
      </c>
      <c r="N28" s="446">
        <v>44314</v>
      </c>
      <c r="O28" s="446">
        <v>43762</v>
      </c>
      <c r="P28" s="446">
        <v>40573</v>
      </c>
      <c r="Q28" s="446">
        <v>84335</v>
      </c>
      <c r="R28" s="446">
        <v>20411</v>
      </c>
      <c r="S28" s="446">
        <v>18876</v>
      </c>
      <c r="T28" s="446">
        <v>39287</v>
      </c>
    </row>
    <row r="29" spans="1:21" ht="19.5" customHeight="1" x14ac:dyDescent="0.25">
      <c r="A29" s="447">
        <v>2015</v>
      </c>
      <c r="B29" s="445">
        <v>6</v>
      </c>
      <c r="C29" s="446">
        <v>213979</v>
      </c>
      <c r="D29" s="446">
        <v>157478</v>
      </c>
      <c r="E29" s="446">
        <v>371457</v>
      </c>
      <c r="F29" s="446">
        <v>137173</v>
      </c>
      <c r="G29" s="446">
        <v>97881</v>
      </c>
      <c r="H29" s="446">
        <v>235054</v>
      </c>
      <c r="I29" s="446">
        <v>33829</v>
      </c>
      <c r="J29" s="446">
        <v>23828</v>
      </c>
      <c r="K29" s="446">
        <v>57657</v>
      </c>
      <c r="L29" s="446">
        <v>22432</v>
      </c>
      <c r="M29" s="446">
        <v>16629</v>
      </c>
      <c r="N29" s="446">
        <v>39061</v>
      </c>
      <c r="O29" s="446">
        <v>27689</v>
      </c>
      <c r="P29" s="446">
        <v>25193</v>
      </c>
      <c r="Q29" s="446">
        <v>52882</v>
      </c>
      <c r="R29" s="446">
        <v>18160</v>
      </c>
      <c r="S29" s="446">
        <v>16443</v>
      </c>
      <c r="T29" s="446">
        <v>34603</v>
      </c>
    </row>
    <row r="30" spans="1:21" ht="19.5" customHeight="1" x14ac:dyDescent="0.25">
      <c r="A30" s="447">
        <v>2016</v>
      </c>
      <c r="B30" s="445">
        <v>7</v>
      </c>
      <c r="C30" s="446">
        <v>373506</v>
      </c>
      <c r="D30" s="446">
        <v>240632</v>
      </c>
      <c r="E30" s="446">
        <v>614138</v>
      </c>
      <c r="F30" s="446">
        <v>148004</v>
      </c>
      <c r="G30" s="446">
        <v>105116</v>
      </c>
      <c r="H30" s="446">
        <v>253120</v>
      </c>
      <c r="I30" s="446">
        <v>117348</v>
      </c>
      <c r="J30" s="446">
        <v>65224</v>
      </c>
      <c r="K30" s="446">
        <v>182572</v>
      </c>
      <c r="L30" s="446">
        <v>47203</v>
      </c>
      <c r="M30" s="446">
        <v>28752</v>
      </c>
      <c r="N30" s="446">
        <v>75955</v>
      </c>
      <c r="O30" s="446">
        <v>52907</v>
      </c>
      <c r="P30" s="446">
        <v>38349</v>
      </c>
      <c r="Q30" s="446">
        <v>91256</v>
      </c>
      <c r="R30" s="446">
        <v>20222</v>
      </c>
      <c r="S30" s="446">
        <v>14997</v>
      </c>
      <c r="T30" s="446">
        <v>35219</v>
      </c>
    </row>
    <row r="31" spans="1:21" ht="19.5" customHeight="1" x14ac:dyDescent="0.25">
      <c r="A31" s="447">
        <v>2017</v>
      </c>
      <c r="B31" s="445">
        <v>7</v>
      </c>
      <c r="C31" s="446">
        <v>416151</v>
      </c>
      <c r="D31" s="446">
        <v>230386</v>
      </c>
      <c r="E31" s="446">
        <v>646537</v>
      </c>
      <c r="F31" s="446">
        <v>153640</v>
      </c>
      <c r="G31" s="446">
        <v>97756</v>
      </c>
      <c r="H31" s="446">
        <v>251396</v>
      </c>
      <c r="I31" s="446">
        <v>62764</v>
      </c>
      <c r="J31" s="446">
        <v>36693</v>
      </c>
      <c r="K31" s="446">
        <v>99457</v>
      </c>
      <c r="L31" s="446">
        <v>22025</v>
      </c>
      <c r="M31" s="446">
        <v>15076</v>
      </c>
      <c r="N31" s="446">
        <v>37101</v>
      </c>
      <c r="O31" s="446">
        <v>43692</v>
      </c>
      <c r="P31" s="446">
        <v>36302</v>
      </c>
      <c r="Q31" s="446">
        <v>79994</v>
      </c>
      <c r="R31" s="446">
        <v>17229</v>
      </c>
      <c r="S31" s="446">
        <v>15876</v>
      </c>
      <c r="T31" s="446">
        <v>33105</v>
      </c>
    </row>
    <row r="32" spans="1:21" ht="19.5" customHeight="1" x14ac:dyDescent="0.25">
      <c r="A32" s="447">
        <v>2018</v>
      </c>
      <c r="B32" s="445">
        <v>8</v>
      </c>
      <c r="C32" s="446">
        <v>464600</v>
      </c>
      <c r="D32" s="446">
        <v>260884</v>
      </c>
      <c r="E32" s="446">
        <v>725484</v>
      </c>
      <c r="F32" s="446">
        <v>201532</v>
      </c>
      <c r="G32" s="446">
        <v>126631</v>
      </c>
      <c r="H32" s="446">
        <v>328163</v>
      </c>
      <c r="I32" s="446">
        <v>75174</v>
      </c>
      <c r="J32" s="446">
        <v>37986</v>
      </c>
      <c r="K32" s="446">
        <v>113160</v>
      </c>
      <c r="L32" s="446">
        <v>30927</v>
      </c>
      <c r="M32" s="446">
        <v>19102</v>
      </c>
      <c r="N32" s="446">
        <v>50029</v>
      </c>
      <c r="O32" s="446">
        <v>44918</v>
      </c>
      <c r="P32" s="446">
        <v>37553</v>
      </c>
      <c r="Q32" s="446">
        <v>82471</v>
      </c>
      <c r="R32" s="446">
        <v>20432</v>
      </c>
      <c r="S32" s="446">
        <v>17863</v>
      </c>
      <c r="T32" s="446">
        <v>38295</v>
      </c>
    </row>
    <row r="33" spans="1:20" ht="19.5" customHeight="1" x14ac:dyDescent="0.25">
      <c r="A33" s="447">
        <v>2019</v>
      </c>
      <c r="B33" s="445">
        <v>8</v>
      </c>
      <c r="C33" s="446">
        <v>436892</v>
      </c>
      <c r="D33" s="446">
        <v>259264</v>
      </c>
      <c r="E33" s="446">
        <v>696156</v>
      </c>
      <c r="F33" s="446">
        <v>193100</v>
      </c>
      <c r="G33" s="446">
        <v>144648</v>
      </c>
      <c r="H33" s="446">
        <v>337748</v>
      </c>
      <c r="I33" s="446">
        <v>66878</v>
      </c>
      <c r="J33" s="446">
        <v>48787</v>
      </c>
      <c r="K33" s="446">
        <v>115665</v>
      </c>
      <c r="L33" s="446">
        <v>28431</v>
      </c>
      <c r="M33" s="446">
        <v>18994</v>
      </c>
      <c r="N33" s="446">
        <v>47425</v>
      </c>
      <c r="O33" s="446">
        <v>41953</v>
      </c>
      <c r="P33" s="446">
        <v>30716</v>
      </c>
      <c r="Q33" s="446">
        <v>72669</v>
      </c>
      <c r="R33" s="446">
        <v>18024</v>
      </c>
      <c r="S33" s="446">
        <v>14744</v>
      </c>
      <c r="T33" s="446">
        <v>32768</v>
      </c>
    </row>
    <row r="34" spans="1:20" ht="19.5" customHeight="1" x14ac:dyDescent="0.25">
      <c r="A34" s="447">
        <v>2020</v>
      </c>
      <c r="B34" s="445">
        <v>8</v>
      </c>
      <c r="C34" s="446">
        <v>399666</v>
      </c>
      <c r="D34" s="446">
        <v>244446</v>
      </c>
      <c r="E34" s="446">
        <v>644112</v>
      </c>
      <c r="F34" s="446">
        <v>262310</v>
      </c>
      <c r="G34" s="446">
        <v>168490</v>
      </c>
      <c r="H34" s="446">
        <v>430800</v>
      </c>
      <c r="I34" s="446">
        <v>62134</v>
      </c>
      <c r="J34" s="446">
        <v>41378</v>
      </c>
      <c r="K34" s="446">
        <v>103512</v>
      </c>
      <c r="L34" s="446">
        <v>37408</v>
      </c>
      <c r="M34" s="446">
        <v>26221</v>
      </c>
      <c r="N34" s="446">
        <v>63629</v>
      </c>
      <c r="O34" s="446">
        <v>46654</v>
      </c>
      <c r="P34" s="446">
        <v>31420</v>
      </c>
      <c r="Q34" s="446">
        <v>78074</v>
      </c>
      <c r="R34" s="446">
        <v>27436</v>
      </c>
      <c r="S34" s="446">
        <v>20579</v>
      </c>
      <c r="T34" s="446">
        <v>48015</v>
      </c>
    </row>
    <row r="35" spans="1:20" ht="19.5" customHeight="1" x14ac:dyDescent="0.25">
      <c r="A35" s="447">
        <v>2021</v>
      </c>
      <c r="B35" s="445">
        <v>8</v>
      </c>
      <c r="C35" s="446">
        <v>232659</v>
      </c>
      <c r="D35" s="446">
        <v>184145</v>
      </c>
      <c r="E35" s="446">
        <v>416804</v>
      </c>
      <c r="F35" s="446">
        <v>200721</v>
      </c>
      <c r="G35" s="446">
        <v>143241</v>
      </c>
      <c r="H35" s="446">
        <v>343962</v>
      </c>
      <c r="I35" s="446">
        <v>33280</v>
      </c>
      <c r="J35" s="446">
        <v>24526</v>
      </c>
      <c r="K35" s="446">
        <v>57806</v>
      </c>
      <c r="L35" s="446">
        <v>28619</v>
      </c>
      <c r="M35" s="446">
        <v>20219</v>
      </c>
      <c r="N35" s="446">
        <v>48838</v>
      </c>
      <c r="O35" s="446">
        <v>19261</v>
      </c>
      <c r="P35" s="446">
        <v>15786</v>
      </c>
      <c r="Q35" s="446">
        <v>35047</v>
      </c>
      <c r="R35" s="446">
        <v>15938</v>
      </c>
      <c r="S35" s="446">
        <v>12410</v>
      </c>
      <c r="T35" s="446">
        <v>28348</v>
      </c>
    </row>
    <row r="36" spans="1:20" ht="19.5" customHeight="1" x14ac:dyDescent="0.25">
      <c r="A36" s="449">
        <v>2022</v>
      </c>
      <c r="B36" s="445">
        <v>8</v>
      </c>
      <c r="C36" s="446">
        <v>216891</v>
      </c>
      <c r="D36" s="446">
        <v>177254</v>
      </c>
      <c r="E36" s="446">
        <v>394145</v>
      </c>
      <c r="F36" s="446">
        <v>99454</v>
      </c>
      <c r="G36" s="446">
        <v>86242</v>
      </c>
      <c r="H36" s="446">
        <v>185696</v>
      </c>
      <c r="I36" s="446">
        <v>37889</v>
      </c>
      <c r="J36" s="446">
        <v>28742</v>
      </c>
      <c r="K36" s="446">
        <v>66631</v>
      </c>
      <c r="L36" s="446">
        <v>15744</v>
      </c>
      <c r="M36" s="446">
        <v>12975</v>
      </c>
      <c r="N36" s="446">
        <v>28719</v>
      </c>
      <c r="O36" s="446">
        <v>23640</v>
      </c>
      <c r="P36" s="446">
        <v>21340</v>
      </c>
      <c r="Q36" s="446">
        <v>44980</v>
      </c>
      <c r="R36" s="446">
        <v>9870</v>
      </c>
      <c r="S36" s="446">
        <v>9243</v>
      </c>
      <c r="T36" s="446">
        <v>19113</v>
      </c>
    </row>
    <row r="37" spans="1:20" ht="19.5" customHeight="1" x14ac:dyDescent="0.25">
      <c r="A37" s="449"/>
      <c r="B37" s="445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</row>
    <row r="38" spans="1:20" ht="19.5" customHeight="1" x14ac:dyDescent="0.25">
      <c r="A38" s="447"/>
      <c r="B38" s="445"/>
      <c r="C38" s="446"/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</row>
    <row r="39" spans="1:20" ht="25.5" customHeight="1" x14ac:dyDescent="0.25">
      <c r="A39" s="398"/>
      <c r="B39" s="453"/>
      <c r="C39" s="604" t="s">
        <v>420</v>
      </c>
      <c r="D39" s="605"/>
      <c r="E39" s="605"/>
      <c r="F39" s="605"/>
      <c r="G39" s="605"/>
      <c r="H39" s="605"/>
      <c r="I39" s="605"/>
      <c r="J39" s="605"/>
      <c r="K39" s="605"/>
      <c r="L39" s="605"/>
      <c r="M39" s="605"/>
      <c r="N39" s="605"/>
      <c r="O39" s="605"/>
      <c r="P39" s="605"/>
      <c r="Q39" s="605"/>
      <c r="R39" s="605"/>
      <c r="S39" s="605"/>
      <c r="T39" s="606"/>
    </row>
    <row r="40" spans="1:20" ht="19.5" customHeight="1" x14ac:dyDescent="0.25">
      <c r="A40" s="608" t="s">
        <v>218</v>
      </c>
      <c r="B40" s="608" t="s">
        <v>327</v>
      </c>
      <c r="C40" s="611" t="s">
        <v>188</v>
      </c>
      <c r="D40" s="612"/>
      <c r="E40" s="612"/>
      <c r="F40" s="612"/>
      <c r="G40" s="612"/>
      <c r="H40" s="612"/>
      <c r="I40" s="612"/>
      <c r="J40" s="612"/>
      <c r="K40" s="612"/>
      <c r="L40" s="612"/>
      <c r="M40" s="612"/>
      <c r="N40" s="612"/>
      <c r="O40" s="612"/>
      <c r="P40" s="612"/>
      <c r="Q40" s="612"/>
      <c r="R40" s="612"/>
      <c r="S40" s="612"/>
      <c r="T40" s="613"/>
    </row>
    <row r="41" spans="1:20" ht="19.5" customHeight="1" x14ac:dyDescent="0.25">
      <c r="A41" s="609"/>
      <c r="B41" s="609"/>
      <c r="C41" s="611" t="s">
        <v>219</v>
      </c>
      <c r="D41" s="612"/>
      <c r="E41" s="612"/>
      <c r="F41" s="612"/>
      <c r="G41" s="612"/>
      <c r="H41" s="613"/>
      <c r="I41" s="611" t="s">
        <v>220</v>
      </c>
      <c r="J41" s="612"/>
      <c r="K41" s="612"/>
      <c r="L41" s="612"/>
      <c r="M41" s="612"/>
      <c r="N41" s="613"/>
      <c r="O41" s="611" t="s">
        <v>221</v>
      </c>
      <c r="P41" s="612"/>
      <c r="Q41" s="612"/>
      <c r="R41" s="612"/>
      <c r="S41" s="612"/>
      <c r="T41" s="613"/>
    </row>
    <row r="42" spans="1:20" ht="19.5" customHeight="1" x14ac:dyDescent="0.25">
      <c r="A42" s="609"/>
      <c r="B42" s="609"/>
      <c r="C42" s="611" t="s">
        <v>5</v>
      </c>
      <c r="D42" s="612"/>
      <c r="E42" s="613"/>
      <c r="F42" s="611" t="s">
        <v>6</v>
      </c>
      <c r="G42" s="612"/>
      <c r="H42" s="613"/>
      <c r="I42" s="611" t="s">
        <v>5</v>
      </c>
      <c r="J42" s="612"/>
      <c r="K42" s="613"/>
      <c r="L42" s="611" t="s">
        <v>6</v>
      </c>
      <c r="M42" s="612"/>
      <c r="N42" s="613"/>
      <c r="O42" s="611" t="s">
        <v>5</v>
      </c>
      <c r="P42" s="612"/>
      <c r="Q42" s="613"/>
      <c r="R42" s="611" t="s">
        <v>6</v>
      </c>
      <c r="S42" s="612"/>
      <c r="T42" s="613"/>
    </row>
    <row r="43" spans="1:20" ht="19.5" customHeight="1" x14ac:dyDescent="0.25">
      <c r="A43" s="610"/>
      <c r="B43" s="610"/>
      <c r="C43" s="457" t="s">
        <v>43</v>
      </c>
      <c r="D43" s="457" t="s">
        <v>44</v>
      </c>
      <c r="E43" s="457" t="s">
        <v>3</v>
      </c>
      <c r="F43" s="457" t="s">
        <v>43</v>
      </c>
      <c r="G43" s="457" t="s">
        <v>44</v>
      </c>
      <c r="H43" s="457" t="s">
        <v>3</v>
      </c>
      <c r="I43" s="457" t="s">
        <v>43</v>
      </c>
      <c r="J43" s="457" t="s">
        <v>44</v>
      </c>
      <c r="K43" s="457" t="s">
        <v>3</v>
      </c>
      <c r="L43" s="457" t="s">
        <v>43</v>
      </c>
      <c r="M43" s="457" t="s">
        <v>44</v>
      </c>
      <c r="N43" s="457" t="s">
        <v>3</v>
      </c>
      <c r="O43" s="457" t="s">
        <v>43</v>
      </c>
      <c r="P43" s="457" t="s">
        <v>44</v>
      </c>
      <c r="Q43" s="457" t="s">
        <v>3</v>
      </c>
      <c r="R43" s="457" t="s">
        <v>43</v>
      </c>
      <c r="S43" s="457" t="s">
        <v>44</v>
      </c>
      <c r="T43" s="457" t="s">
        <v>3</v>
      </c>
    </row>
    <row r="44" spans="1:20" ht="19.5" customHeight="1" x14ac:dyDescent="0.25">
      <c r="A44" s="458">
        <v>1</v>
      </c>
      <c r="B44" s="458">
        <v>2</v>
      </c>
      <c r="C44" s="458">
        <v>3</v>
      </c>
      <c r="D44" s="458">
        <v>4</v>
      </c>
      <c r="E44" s="458">
        <v>5</v>
      </c>
      <c r="F44" s="458">
        <v>6</v>
      </c>
      <c r="G44" s="458">
        <v>7</v>
      </c>
      <c r="H44" s="458">
        <v>8</v>
      </c>
      <c r="I44" s="458">
        <v>9</v>
      </c>
      <c r="J44" s="458">
        <v>10</v>
      </c>
      <c r="K44" s="458">
        <v>11</v>
      </c>
      <c r="L44" s="458">
        <v>12</v>
      </c>
      <c r="M44" s="458">
        <v>13</v>
      </c>
      <c r="N44" s="458">
        <v>14</v>
      </c>
      <c r="O44" s="458">
        <v>15</v>
      </c>
      <c r="P44" s="458">
        <v>16</v>
      </c>
      <c r="Q44" s="458">
        <v>17</v>
      </c>
      <c r="R44" s="458">
        <v>18</v>
      </c>
      <c r="S44" s="458">
        <v>19</v>
      </c>
      <c r="T44" s="458">
        <v>20</v>
      </c>
    </row>
    <row r="45" spans="1:20" ht="19.5" customHeight="1" x14ac:dyDescent="0.25">
      <c r="A45" s="444">
        <v>2012</v>
      </c>
      <c r="B45" s="445">
        <v>40</v>
      </c>
      <c r="C45" s="446">
        <v>10287144</v>
      </c>
      <c r="D45" s="446">
        <v>8287633</v>
      </c>
      <c r="E45" s="446">
        <v>18574777</v>
      </c>
      <c r="F45" s="446">
        <v>7648530</v>
      </c>
      <c r="G45" s="446">
        <v>6462590</v>
      </c>
      <c r="H45" s="446">
        <v>14111120</v>
      </c>
      <c r="I45" s="446">
        <v>1653275</v>
      </c>
      <c r="J45" s="446">
        <v>1315217</v>
      </c>
      <c r="K45" s="446">
        <v>2968492</v>
      </c>
      <c r="L45" s="446">
        <v>1132109</v>
      </c>
      <c r="M45" s="446">
        <v>950433</v>
      </c>
      <c r="N45" s="446">
        <v>2082542</v>
      </c>
      <c r="O45" s="446">
        <v>677858</v>
      </c>
      <c r="P45" s="446">
        <v>575279</v>
      </c>
      <c r="Q45" s="446">
        <v>1253137</v>
      </c>
      <c r="R45" s="446">
        <v>416962</v>
      </c>
      <c r="S45" s="446">
        <v>352776</v>
      </c>
      <c r="T45" s="446">
        <v>769738</v>
      </c>
    </row>
    <row r="46" spans="1:20" ht="19.5" customHeight="1" x14ac:dyDescent="0.25">
      <c r="A46" s="447">
        <v>2013</v>
      </c>
      <c r="B46" s="445">
        <v>41</v>
      </c>
      <c r="C46" s="446">
        <v>10904655</v>
      </c>
      <c r="D46" s="446">
        <v>8829960</v>
      </c>
      <c r="E46" s="446">
        <v>19734615</v>
      </c>
      <c r="F46" s="446">
        <v>8257716</v>
      </c>
      <c r="G46" s="446">
        <v>7061772</v>
      </c>
      <c r="H46" s="446">
        <v>15319488</v>
      </c>
      <c r="I46" s="446">
        <v>1825760</v>
      </c>
      <c r="J46" s="446">
        <v>1489446</v>
      </c>
      <c r="K46" s="446">
        <v>3315206</v>
      </c>
      <c r="L46" s="446">
        <v>1265090</v>
      </c>
      <c r="M46" s="446">
        <v>1093073</v>
      </c>
      <c r="N46" s="446">
        <v>2358163</v>
      </c>
      <c r="O46" s="446">
        <v>787070</v>
      </c>
      <c r="P46" s="446">
        <v>691945</v>
      </c>
      <c r="Q46" s="446">
        <v>1479015</v>
      </c>
      <c r="R46" s="446">
        <v>502983</v>
      </c>
      <c r="S46" s="446">
        <v>446062</v>
      </c>
      <c r="T46" s="446">
        <v>949045</v>
      </c>
    </row>
    <row r="47" spans="1:20" ht="19.5" customHeight="1" x14ac:dyDescent="0.25">
      <c r="A47" s="447">
        <v>2014</v>
      </c>
      <c r="B47" s="445">
        <v>41</v>
      </c>
      <c r="C47" s="446">
        <v>10601867</v>
      </c>
      <c r="D47" s="446">
        <v>8864399</v>
      </c>
      <c r="E47" s="446">
        <v>19466266</v>
      </c>
      <c r="F47" s="446">
        <v>8221455</v>
      </c>
      <c r="G47" s="446">
        <v>7171919</v>
      </c>
      <c r="H47" s="446">
        <v>15393374</v>
      </c>
      <c r="I47" s="446">
        <v>1808730</v>
      </c>
      <c r="J47" s="446">
        <v>1518501</v>
      </c>
      <c r="K47" s="446">
        <v>3327231</v>
      </c>
      <c r="L47" s="446">
        <v>1294748</v>
      </c>
      <c r="M47" s="446">
        <v>1142190</v>
      </c>
      <c r="N47" s="446">
        <v>2436938</v>
      </c>
      <c r="O47" s="446">
        <v>801513</v>
      </c>
      <c r="P47" s="446">
        <v>735177</v>
      </c>
      <c r="Q47" s="446">
        <v>1536690</v>
      </c>
      <c r="R47" s="446">
        <v>522123</v>
      </c>
      <c r="S47" s="446">
        <v>469796</v>
      </c>
      <c r="T47" s="446">
        <v>991919</v>
      </c>
    </row>
    <row r="48" spans="1:20" ht="19.5" customHeight="1" x14ac:dyDescent="0.25">
      <c r="A48" s="447">
        <v>2015</v>
      </c>
      <c r="B48" s="445">
        <v>41</v>
      </c>
      <c r="C48" s="446">
        <v>10292567</v>
      </c>
      <c r="D48" s="446">
        <v>8865570</v>
      </c>
      <c r="E48" s="446">
        <v>19158137</v>
      </c>
      <c r="F48" s="446">
        <v>7968166</v>
      </c>
      <c r="G48" s="446">
        <v>7136789</v>
      </c>
      <c r="H48" s="446">
        <v>15104955</v>
      </c>
      <c r="I48" s="446">
        <v>1762729</v>
      </c>
      <c r="J48" s="446">
        <v>1519038</v>
      </c>
      <c r="K48" s="446">
        <v>3281767</v>
      </c>
      <c r="L48" s="446">
        <v>1266714</v>
      </c>
      <c r="M48" s="446">
        <v>1136130</v>
      </c>
      <c r="N48" s="446">
        <v>2402844</v>
      </c>
      <c r="O48" s="446">
        <v>783988</v>
      </c>
      <c r="P48" s="446">
        <v>736790</v>
      </c>
      <c r="Q48" s="446">
        <v>1520778</v>
      </c>
      <c r="R48" s="446">
        <v>509950</v>
      </c>
      <c r="S48" s="446">
        <v>466163</v>
      </c>
      <c r="T48" s="446">
        <v>976113</v>
      </c>
    </row>
    <row r="49" spans="1:20" ht="19.5" customHeight="1" x14ac:dyDescent="0.25">
      <c r="A49" s="447">
        <v>2016</v>
      </c>
      <c r="B49" s="445">
        <v>49</v>
      </c>
      <c r="C49" s="446">
        <v>10820446</v>
      </c>
      <c r="D49" s="446">
        <v>9189510</v>
      </c>
      <c r="E49" s="446">
        <v>20009956</v>
      </c>
      <c r="F49" s="446">
        <v>8266497</v>
      </c>
      <c r="G49" s="446">
        <v>7245671</v>
      </c>
      <c r="H49" s="446">
        <v>15512168</v>
      </c>
      <c r="I49" s="446">
        <v>1958214</v>
      </c>
      <c r="J49" s="446">
        <v>1656040</v>
      </c>
      <c r="K49" s="446">
        <v>3614254</v>
      </c>
      <c r="L49" s="446">
        <v>1371876</v>
      </c>
      <c r="M49" s="446">
        <v>1215805</v>
      </c>
      <c r="N49" s="446">
        <v>2587681</v>
      </c>
      <c r="O49" s="446">
        <v>832040</v>
      </c>
      <c r="P49" s="446">
        <v>773005</v>
      </c>
      <c r="Q49" s="446">
        <v>1605045</v>
      </c>
      <c r="R49" s="446">
        <v>527895</v>
      </c>
      <c r="S49" s="446">
        <v>491874</v>
      </c>
      <c r="T49" s="446">
        <v>1019769</v>
      </c>
    </row>
    <row r="50" spans="1:20" ht="19.5" customHeight="1" x14ac:dyDescent="0.25">
      <c r="A50" s="447">
        <v>2017</v>
      </c>
      <c r="B50" s="445">
        <v>48</v>
      </c>
      <c r="C50" s="446">
        <v>10765030</v>
      </c>
      <c r="D50" s="446">
        <v>9210795</v>
      </c>
      <c r="E50" s="446">
        <v>19975825</v>
      </c>
      <c r="F50" s="446">
        <v>8028747</v>
      </c>
      <c r="G50" s="446">
        <v>7106745</v>
      </c>
      <c r="H50" s="446">
        <v>15135492</v>
      </c>
      <c r="I50" s="446">
        <v>1884483</v>
      </c>
      <c r="J50" s="446">
        <v>1655754</v>
      </c>
      <c r="K50" s="446">
        <v>3540237</v>
      </c>
      <c r="L50" s="446">
        <v>1290811</v>
      </c>
      <c r="M50" s="446">
        <v>1178673</v>
      </c>
      <c r="N50" s="446">
        <v>2469484</v>
      </c>
      <c r="O50" s="446">
        <v>804344</v>
      </c>
      <c r="P50" s="446">
        <v>770760</v>
      </c>
      <c r="Q50" s="446">
        <v>1575104</v>
      </c>
      <c r="R50" s="446">
        <v>528205</v>
      </c>
      <c r="S50" s="446">
        <v>509021</v>
      </c>
      <c r="T50" s="446">
        <v>1037226</v>
      </c>
    </row>
    <row r="51" spans="1:20" ht="19.5" customHeight="1" x14ac:dyDescent="0.25">
      <c r="A51" s="447" t="s">
        <v>400</v>
      </c>
      <c r="B51" s="445">
        <v>50</v>
      </c>
      <c r="C51" s="446">
        <v>10654237</v>
      </c>
      <c r="D51" s="446">
        <v>9220327</v>
      </c>
      <c r="E51" s="446">
        <v>19877318</v>
      </c>
      <c r="F51" s="446">
        <v>7851779</v>
      </c>
      <c r="G51" s="446">
        <v>7039415</v>
      </c>
      <c r="H51" s="446">
        <v>15324440</v>
      </c>
      <c r="I51" s="446">
        <v>1861239</v>
      </c>
      <c r="J51" s="446">
        <v>1633015</v>
      </c>
      <c r="K51" s="446">
        <v>3538239</v>
      </c>
      <c r="L51" s="446">
        <v>1309274</v>
      </c>
      <c r="M51" s="446">
        <v>1180399</v>
      </c>
      <c r="N51" s="446">
        <v>2531546</v>
      </c>
      <c r="O51" s="446">
        <v>791474</v>
      </c>
      <c r="P51" s="446">
        <v>764364</v>
      </c>
      <c r="Q51" s="446">
        <v>1563946</v>
      </c>
      <c r="R51" s="446">
        <v>522520</v>
      </c>
      <c r="S51" s="446">
        <v>511520</v>
      </c>
      <c r="T51" s="446">
        <v>1041095</v>
      </c>
    </row>
    <row r="52" spans="1:20" ht="19.5" customHeight="1" x14ac:dyDescent="0.25">
      <c r="A52" s="447">
        <v>2019</v>
      </c>
      <c r="B52" s="445">
        <v>50</v>
      </c>
      <c r="C52" s="446">
        <v>10287834</v>
      </c>
      <c r="D52" s="446">
        <v>9102626</v>
      </c>
      <c r="E52" s="446">
        <v>19390460</v>
      </c>
      <c r="F52" s="454">
        <v>7945733</v>
      </c>
      <c r="G52" s="446">
        <v>7444304</v>
      </c>
      <c r="H52" s="446">
        <v>15390037</v>
      </c>
      <c r="I52" s="446">
        <v>1776130</v>
      </c>
      <c r="J52" s="454">
        <v>1617640</v>
      </c>
      <c r="K52" s="446">
        <v>3393770</v>
      </c>
      <c r="L52" s="446">
        <v>1288204</v>
      </c>
      <c r="M52" s="446">
        <v>1229470</v>
      </c>
      <c r="N52" s="454">
        <v>2517674</v>
      </c>
      <c r="O52" s="446">
        <v>765648</v>
      </c>
      <c r="P52" s="446">
        <v>750693</v>
      </c>
      <c r="Q52" s="446">
        <v>1516341</v>
      </c>
      <c r="R52" s="454">
        <v>504498</v>
      </c>
      <c r="S52" s="446">
        <v>514832</v>
      </c>
      <c r="T52" s="446">
        <v>1019330</v>
      </c>
    </row>
    <row r="53" spans="1:20" ht="19.5" customHeight="1" x14ac:dyDescent="0.25">
      <c r="A53" s="447">
        <v>2020</v>
      </c>
      <c r="B53" s="455">
        <v>50</v>
      </c>
      <c r="C53" s="446">
        <v>10235317</v>
      </c>
      <c r="D53" s="446">
        <v>9088324</v>
      </c>
      <c r="E53" s="446">
        <v>19323641</v>
      </c>
      <c r="F53" s="446">
        <v>8424306</v>
      </c>
      <c r="G53" s="446">
        <v>7774688</v>
      </c>
      <c r="H53" s="446">
        <v>16198994</v>
      </c>
      <c r="I53" s="446">
        <v>1764137</v>
      </c>
      <c r="J53" s="446">
        <v>1619351</v>
      </c>
      <c r="K53" s="446">
        <v>3383488</v>
      </c>
      <c r="L53" s="446">
        <v>1397874</v>
      </c>
      <c r="M53" s="446">
        <v>1327800</v>
      </c>
      <c r="N53" s="446">
        <v>2725674</v>
      </c>
      <c r="O53" s="446">
        <v>764470</v>
      </c>
      <c r="P53" s="446">
        <v>748136</v>
      </c>
      <c r="Q53" s="446">
        <v>1512606</v>
      </c>
      <c r="R53" s="446">
        <v>545394</v>
      </c>
      <c r="S53" s="446">
        <v>551857</v>
      </c>
      <c r="T53" s="446">
        <v>1097251</v>
      </c>
    </row>
    <row r="54" spans="1:20" ht="19.5" customHeight="1" x14ac:dyDescent="0.25">
      <c r="A54" s="447">
        <v>2021</v>
      </c>
      <c r="B54" s="455">
        <v>50</v>
      </c>
      <c r="C54" s="446">
        <v>10514837</v>
      </c>
      <c r="D54" s="446">
        <v>9262878</v>
      </c>
      <c r="E54" s="446">
        <v>19777715</v>
      </c>
      <c r="F54" s="446">
        <v>10286050</v>
      </c>
      <c r="G54" s="446">
        <v>9031792</v>
      </c>
      <c r="H54" s="446">
        <v>19317842</v>
      </c>
      <c r="I54" s="446">
        <v>1841755</v>
      </c>
      <c r="J54" s="446">
        <v>1646179</v>
      </c>
      <c r="K54" s="446">
        <v>3487934</v>
      </c>
      <c r="L54" s="446">
        <v>1800294</v>
      </c>
      <c r="M54" s="446">
        <v>1602239</v>
      </c>
      <c r="N54" s="446">
        <v>3402533</v>
      </c>
      <c r="O54" s="446">
        <v>812883</v>
      </c>
      <c r="P54" s="446">
        <v>794701</v>
      </c>
      <c r="Q54" s="446">
        <v>1607584</v>
      </c>
      <c r="R54" s="446">
        <v>782261</v>
      </c>
      <c r="S54" s="446">
        <v>764452</v>
      </c>
      <c r="T54" s="446">
        <v>1546713</v>
      </c>
    </row>
    <row r="55" spans="1:20" ht="19.5" customHeight="1" x14ac:dyDescent="0.25">
      <c r="A55" s="449">
        <v>2022</v>
      </c>
      <c r="B55" s="445">
        <v>50</v>
      </c>
      <c r="C55" s="446">
        <v>9983761</v>
      </c>
      <c r="D55" s="446">
        <v>9007048</v>
      </c>
      <c r="E55" s="446">
        <v>18990809</v>
      </c>
      <c r="F55" s="446">
        <v>8277785</v>
      </c>
      <c r="G55" s="446">
        <v>7756886</v>
      </c>
      <c r="H55" s="446">
        <v>16034671</v>
      </c>
      <c r="I55" s="446">
        <v>1627406</v>
      </c>
      <c r="J55" s="446">
        <v>1452788</v>
      </c>
      <c r="K55" s="446">
        <v>3080194</v>
      </c>
      <c r="L55" s="446">
        <v>1257175</v>
      </c>
      <c r="M55" s="446">
        <v>1186738</v>
      </c>
      <c r="N55" s="446">
        <v>2443913</v>
      </c>
      <c r="O55" s="446">
        <v>643510</v>
      </c>
      <c r="P55" s="446">
        <v>651173</v>
      </c>
      <c r="Q55" s="446">
        <v>1294683</v>
      </c>
      <c r="R55" s="446">
        <v>465848</v>
      </c>
      <c r="S55" s="446">
        <v>501358</v>
      </c>
      <c r="T55" s="446">
        <v>967206</v>
      </c>
    </row>
    <row r="56" spans="1:20" ht="19.5" customHeight="1" x14ac:dyDescent="0.25">
      <c r="B56" s="435" t="s">
        <v>399</v>
      </c>
    </row>
  </sheetData>
  <mergeCells count="39">
    <mergeCell ref="B21:B24"/>
    <mergeCell ref="B40:B43"/>
    <mergeCell ref="A21:A24"/>
    <mergeCell ref="A40:A43"/>
    <mergeCell ref="C40:T40"/>
    <mergeCell ref="C41:H41"/>
    <mergeCell ref="I41:N41"/>
    <mergeCell ref="O41:T41"/>
    <mergeCell ref="C42:E42"/>
    <mergeCell ref="F42:H42"/>
    <mergeCell ref="I42:K42"/>
    <mergeCell ref="L42:N42"/>
    <mergeCell ref="O42:Q42"/>
    <mergeCell ref="R42:T42"/>
    <mergeCell ref="C22:H22"/>
    <mergeCell ref="I22:N22"/>
    <mergeCell ref="O22:T22"/>
    <mergeCell ref="C23:E23"/>
    <mergeCell ref="F23:H23"/>
    <mergeCell ref="I23:K23"/>
    <mergeCell ref="L23:N23"/>
    <mergeCell ref="O23:Q23"/>
    <mergeCell ref="R23:T23"/>
    <mergeCell ref="C20:T20"/>
    <mergeCell ref="C39:T39"/>
    <mergeCell ref="C1:T1"/>
    <mergeCell ref="A2:A5"/>
    <mergeCell ref="B2:B5"/>
    <mergeCell ref="C2:T2"/>
    <mergeCell ref="C3:H3"/>
    <mergeCell ref="I3:N3"/>
    <mergeCell ref="O3:T3"/>
    <mergeCell ref="C4:E4"/>
    <mergeCell ref="F4:H4"/>
    <mergeCell ref="I4:K4"/>
    <mergeCell ref="L4:N4"/>
    <mergeCell ref="O4:Q4"/>
    <mergeCell ref="R4:T4"/>
    <mergeCell ref="C21:T21"/>
  </mergeCells>
  <pageMargins left="0.7" right="0.7" top="0.75" bottom="0.75" header="0.3" footer="0.3"/>
  <pageSetup scale="46" firstPageNumber="101" orientation="landscape" useFirstPageNumber="1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L50"/>
  <sheetViews>
    <sheetView workbookViewId="0">
      <pane xSplit="2" ySplit="2" topLeftCell="DH39" activePane="bottomRight" state="frozen"/>
      <selection pane="topRight" activeCell="C1" sqref="C1"/>
      <selection pane="bottomLeft" activeCell="A3" sqref="A3"/>
      <selection pane="bottomRight" activeCell="DU3" sqref="DU3:DW47"/>
    </sheetView>
  </sheetViews>
  <sheetFormatPr defaultColWidth="9.140625" defaultRowHeight="15" x14ac:dyDescent="0.25"/>
  <cols>
    <col min="1" max="1" width="9.140625" style="3"/>
    <col min="2" max="2" width="30" style="3" bestFit="1" customWidth="1"/>
    <col min="3" max="3" width="36.5703125" style="3" bestFit="1" customWidth="1"/>
    <col min="4" max="4" width="23.5703125" style="3" customWidth="1"/>
    <col min="5" max="5" width="24.5703125" style="3" customWidth="1"/>
    <col min="6" max="6" width="25.7109375" style="3" customWidth="1"/>
    <col min="7" max="7" width="21.42578125" style="3" customWidth="1"/>
    <col min="8" max="8" width="13.140625" style="3" customWidth="1"/>
    <col min="9" max="15" width="9.140625" style="3"/>
    <col min="16" max="16" width="13.5703125" style="3" customWidth="1"/>
    <col min="17" max="20" width="9.140625" style="3"/>
    <col min="21" max="21" width="9.42578125" style="3" customWidth="1"/>
    <col min="22" max="27" width="9.140625" style="3"/>
    <col min="28" max="28" width="9.140625" style="24"/>
    <col min="29" max="128" width="9.140625" style="3"/>
    <col min="129" max="129" width="10" style="3" bestFit="1" customWidth="1"/>
    <col min="130" max="136" width="9.140625" style="3"/>
    <col min="137" max="138" width="15.140625" style="3" customWidth="1"/>
    <col min="139" max="139" width="9.140625" style="3"/>
    <col min="140" max="141" width="9.140625" style="3" customWidth="1"/>
    <col min="142" max="16384" width="9.140625" style="3"/>
  </cols>
  <sheetData>
    <row r="1" spans="1:142" s="8" customFormat="1" x14ac:dyDescent="0.25">
      <c r="A1" s="7"/>
      <c r="B1" s="7"/>
      <c r="C1" s="25"/>
      <c r="D1" s="467" t="s">
        <v>46</v>
      </c>
      <c r="E1" s="468"/>
      <c r="F1" s="467" t="s">
        <v>47</v>
      </c>
      <c r="G1" s="468"/>
      <c r="H1" s="469" t="s">
        <v>4</v>
      </c>
      <c r="I1" s="469"/>
      <c r="J1" s="469"/>
      <c r="K1" s="469"/>
      <c r="L1" s="469" t="s">
        <v>5</v>
      </c>
      <c r="M1" s="469"/>
      <c r="N1" s="469"/>
      <c r="O1" s="469"/>
      <c r="P1" s="469" t="s">
        <v>6</v>
      </c>
      <c r="Q1" s="469"/>
      <c r="R1" s="469"/>
      <c r="S1" s="469"/>
      <c r="T1" s="469"/>
      <c r="U1" s="469" t="s">
        <v>4</v>
      </c>
      <c r="V1" s="469"/>
      <c r="W1" s="469"/>
      <c r="X1" s="469"/>
      <c r="Y1" s="469"/>
      <c r="Z1" s="469"/>
      <c r="AA1" s="469"/>
      <c r="AB1" s="469"/>
      <c r="AC1" s="469" t="s">
        <v>25</v>
      </c>
      <c r="AD1" s="469"/>
      <c r="AE1" s="469"/>
      <c r="AF1" s="469"/>
      <c r="AG1" s="469"/>
      <c r="AH1" s="469"/>
      <c r="AI1" s="469"/>
      <c r="AJ1" s="469"/>
      <c r="AK1" s="469"/>
      <c r="AL1" s="469" t="s">
        <v>26</v>
      </c>
      <c r="AM1" s="469"/>
      <c r="AN1" s="469"/>
      <c r="AO1" s="469"/>
      <c r="AP1" s="469"/>
      <c r="AQ1" s="469"/>
      <c r="AR1" s="469"/>
      <c r="AS1" s="469"/>
      <c r="AT1" s="469"/>
      <c r="AU1" s="469" t="s">
        <v>27</v>
      </c>
      <c r="AV1" s="469"/>
      <c r="AW1" s="469"/>
      <c r="AX1" s="469"/>
      <c r="AY1" s="469"/>
      <c r="AZ1" s="469"/>
      <c r="BA1" s="469"/>
      <c r="BB1" s="469"/>
      <c r="BC1" s="469"/>
      <c r="BD1" s="469" t="s">
        <v>28</v>
      </c>
      <c r="BE1" s="469"/>
      <c r="BF1" s="469"/>
      <c r="BG1" s="469"/>
      <c r="BH1" s="469"/>
      <c r="BI1" s="469"/>
      <c r="BJ1" s="469"/>
      <c r="BK1" s="469"/>
      <c r="BL1" s="469"/>
      <c r="BM1" s="476" t="s">
        <v>39</v>
      </c>
      <c r="BN1" s="477"/>
      <c r="BO1" s="477"/>
      <c r="BP1" s="477"/>
      <c r="BQ1" s="477"/>
      <c r="BR1" s="477"/>
      <c r="BS1" s="477"/>
      <c r="BT1" s="477"/>
      <c r="BU1" s="478"/>
      <c r="BV1" s="469" t="s">
        <v>29</v>
      </c>
      <c r="BW1" s="469"/>
      <c r="BX1" s="469"/>
      <c r="BY1" s="469"/>
      <c r="BZ1" s="469"/>
      <c r="CA1" s="469"/>
      <c r="CB1" s="469"/>
      <c r="CC1" s="469"/>
      <c r="CD1" s="469"/>
      <c r="CE1" s="469" t="s">
        <v>30</v>
      </c>
      <c r="CF1" s="469"/>
      <c r="CG1" s="469"/>
      <c r="CH1" s="469"/>
      <c r="CI1" s="469"/>
      <c r="CJ1" s="469"/>
      <c r="CK1" s="469"/>
      <c r="CL1" s="469"/>
      <c r="CM1" s="469"/>
      <c r="CN1" s="469" t="s">
        <v>31</v>
      </c>
      <c r="CO1" s="469"/>
      <c r="CP1" s="469"/>
      <c r="CQ1" s="469"/>
      <c r="CR1" s="469"/>
      <c r="CS1" s="469"/>
      <c r="CT1" s="469"/>
      <c r="CU1" s="469"/>
      <c r="CV1" s="469"/>
      <c r="CW1" s="469" t="s">
        <v>32</v>
      </c>
      <c r="CX1" s="469"/>
      <c r="CY1" s="469"/>
      <c r="CZ1" s="469"/>
      <c r="DA1" s="469"/>
      <c r="DB1" s="469"/>
      <c r="DC1" s="469"/>
      <c r="DD1" s="469"/>
      <c r="DE1" s="469"/>
      <c r="DF1" s="471" t="s">
        <v>40</v>
      </c>
      <c r="DG1" s="472"/>
      <c r="DH1" s="472"/>
      <c r="DI1" s="472"/>
      <c r="DJ1" s="472"/>
      <c r="DK1" s="472"/>
      <c r="DL1" s="472"/>
      <c r="DM1" s="472"/>
      <c r="DN1" s="473"/>
      <c r="DO1" s="469" t="s">
        <v>33</v>
      </c>
      <c r="DP1" s="469"/>
      <c r="DQ1" s="469"/>
      <c r="DR1" s="469"/>
      <c r="DS1" s="469"/>
      <c r="DT1" s="469"/>
      <c r="DU1" s="469"/>
      <c r="DV1" s="469"/>
      <c r="DW1" s="469"/>
      <c r="DX1" s="469" t="s">
        <v>34</v>
      </c>
      <c r="DY1" s="469"/>
      <c r="DZ1" s="469"/>
      <c r="EA1" s="469"/>
      <c r="EB1" s="469"/>
      <c r="EC1" s="469"/>
      <c r="ED1" s="469"/>
      <c r="EE1" s="469"/>
      <c r="EF1" s="469"/>
      <c r="EG1" s="474" t="s">
        <v>41</v>
      </c>
      <c r="EH1" s="475"/>
      <c r="EI1" s="470" t="s">
        <v>35</v>
      </c>
      <c r="EJ1" s="470"/>
      <c r="EK1" s="470"/>
    </row>
    <row r="2" spans="1:142" s="13" customFormat="1" ht="45" x14ac:dyDescent="0.25">
      <c r="A2" s="9" t="s">
        <v>15</v>
      </c>
      <c r="B2" s="9" t="s">
        <v>14</v>
      </c>
      <c r="C2" s="26" t="s">
        <v>45</v>
      </c>
      <c r="D2" s="26" t="s">
        <v>48</v>
      </c>
      <c r="E2" s="26" t="s">
        <v>49</v>
      </c>
      <c r="F2" s="26" t="s">
        <v>48</v>
      </c>
      <c r="G2" s="26" t="s">
        <v>49</v>
      </c>
      <c r="H2" s="10" t="s">
        <v>0</v>
      </c>
      <c r="I2" s="10" t="s">
        <v>1</v>
      </c>
      <c r="J2" s="10" t="s">
        <v>2</v>
      </c>
      <c r="K2" s="11" t="s">
        <v>3</v>
      </c>
      <c r="L2" s="10" t="s">
        <v>0</v>
      </c>
      <c r="M2" s="10" t="s">
        <v>1</v>
      </c>
      <c r="N2" s="10" t="s">
        <v>2</v>
      </c>
      <c r="O2" s="11" t="s">
        <v>3</v>
      </c>
      <c r="P2" s="10" t="s">
        <v>0</v>
      </c>
      <c r="Q2" s="10" t="s">
        <v>1</v>
      </c>
      <c r="R2" s="10" t="s">
        <v>2</v>
      </c>
      <c r="S2" s="11" t="s">
        <v>3</v>
      </c>
      <c r="T2" s="14" t="s">
        <v>7</v>
      </c>
      <c r="U2" s="16">
        <v>1</v>
      </c>
      <c r="V2" s="10" t="s">
        <v>8</v>
      </c>
      <c r="W2" s="10" t="s">
        <v>9</v>
      </c>
      <c r="X2" s="10" t="s">
        <v>10</v>
      </c>
      <c r="Y2" s="10" t="s">
        <v>11</v>
      </c>
      <c r="Z2" s="10" t="s">
        <v>12</v>
      </c>
      <c r="AA2" s="16">
        <v>0.5</v>
      </c>
      <c r="AB2" s="17" t="s">
        <v>13</v>
      </c>
      <c r="AC2" s="20" t="s">
        <v>16</v>
      </c>
      <c r="AD2" s="20" t="s">
        <v>17</v>
      </c>
      <c r="AE2" s="11" t="s">
        <v>18</v>
      </c>
      <c r="AF2" s="20" t="s">
        <v>19</v>
      </c>
      <c r="AG2" s="20" t="s">
        <v>20</v>
      </c>
      <c r="AH2" s="11" t="s">
        <v>21</v>
      </c>
      <c r="AI2" s="20" t="s">
        <v>22</v>
      </c>
      <c r="AJ2" s="20" t="s">
        <v>23</v>
      </c>
      <c r="AK2" s="11" t="s">
        <v>24</v>
      </c>
      <c r="AL2" s="20" t="s">
        <v>16</v>
      </c>
      <c r="AM2" s="20" t="s">
        <v>17</v>
      </c>
      <c r="AN2" s="11" t="s">
        <v>18</v>
      </c>
      <c r="AO2" s="20" t="s">
        <v>19</v>
      </c>
      <c r="AP2" s="20" t="s">
        <v>20</v>
      </c>
      <c r="AQ2" s="11" t="s">
        <v>21</v>
      </c>
      <c r="AR2" s="20" t="s">
        <v>22</v>
      </c>
      <c r="AS2" s="20" t="s">
        <v>23</v>
      </c>
      <c r="AT2" s="11" t="s">
        <v>24</v>
      </c>
      <c r="AU2" s="20" t="s">
        <v>16</v>
      </c>
      <c r="AV2" s="20" t="s">
        <v>17</v>
      </c>
      <c r="AW2" s="11" t="s">
        <v>18</v>
      </c>
      <c r="AX2" s="20" t="s">
        <v>19</v>
      </c>
      <c r="AY2" s="20" t="s">
        <v>20</v>
      </c>
      <c r="AZ2" s="11" t="s">
        <v>21</v>
      </c>
      <c r="BA2" s="20" t="s">
        <v>22</v>
      </c>
      <c r="BB2" s="20" t="s">
        <v>23</v>
      </c>
      <c r="BC2" s="11" t="s">
        <v>24</v>
      </c>
      <c r="BD2" s="20" t="s">
        <v>16</v>
      </c>
      <c r="BE2" s="20" t="s">
        <v>17</v>
      </c>
      <c r="BF2" s="11" t="s">
        <v>18</v>
      </c>
      <c r="BG2" s="20" t="s">
        <v>19</v>
      </c>
      <c r="BH2" s="20" t="s">
        <v>20</v>
      </c>
      <c r="BI2" s="11" t="s">
        <v>21</v>
      </c>
      <c r="BJ2" s="20" t="s">
        <v>22</v>
      </c>
      <c r="BK2" s="20" t="s">
        <v>23</v>
      </c>
      <c r="BL2" s="11" t="s">
        <v>24</v>
      </c>
      <c r="BM2" s="14" t="s">
        <v>16</v>
      </c>
      <c r="BN2" s="14" t="s">
        <v>17</v>
      </c>
      <c r="BO2" s="14" t="s">
        <v>18</v>
      </c>
      <c r="BP2" s="14" t="s">
        <v>19</v>
      </c>
      <c r="BQ2" s="14" t="s">
        <v>20</v>
      </c>
      <c r="BR2" s="14" t="s">
        <v>21</v>
      </c>
      <c r="BS2" s="14" t="s">
        <v>22</v>
      </c>
      <c r="BT2" s="14" t="s">
        <v>23</v>
      </c>
      <c r="BU2" s="14" t="s">
        <v>24</v>
      </c>
      <c r="BV2" s="22" t="s">
        <v>174</v>
      </c>
      <c r="BW2" s="22" t="s">
        <v>17</v>
      </c>
      <c r="BX2" s="11" t="s">
        <v>18</v>
      </c>
      <c r="BY2" s="22" t="s">
        <v>19</v>
      </c>
      <c r="BZ2" s="22" t="s">
        <v>20</v>
      </c>
      <c r="CA2" s="11" t="s">
        <v>21</v>
      </c>
      <c r="CB2" s="22" t="s">
        <v>22</v>
      </c>
      <c r="CC2" s="22" t="s">
        <v>23</v>
      </c>
      <c r="CD2" s="11" t="s">
        <v>24</v>
      </c>
      <c r="CE2" s="22" t="s">
        <v>175</v>
      </c>
      <c r="CF2" s="22" t="s">
        <v>17</v>
      </c>
      <c r="CG2" s="11" t="s">
        <v>18</v>
      </c>
      <c r="CH2" s="22" t="s">
        <v>19</v>
      </c>
      <c r="CI2" s="22" t="s">
        <v>20</v>
      </c>
      <c r="CJ2" s="11" t="s">
        <v>21</v>
      </c>
      <c r="CK2" s="22" t="s">
        <v>22</v>
      </c>
      <c r="CL2" s="22" t="s">
        <v>23</v>
      </c>
      <c r="CM2" s="11" t="s">
        <v>24</v>
      </c>
      <c r="CN2" s="22" t="s">
        <v>176</v>
      </c>
      <c r="CO2" s="22" t="s">
        <v>17</v>
      </c>
      <c r="CP2" s="11" t="s">
        <v>18</v>
      </c>
      <c r="CQ2" s="22" t="s">
        <v>19</v>
      </c>
      <c r="CR2" s="22" t="s">
        <v>20</v>
      </c>
      <c r="CS2" s="11" t="s">
        <v>21</v>
      </c>
      <c r="CT2" s="22" t="s">
        <v>22</v>
      </c>
      <c r="CU2" s="22" t="s">
        <v>23</v>
      </c>
      <c r="CV2" s="11" t="s">
        <v>24</v>
      </c>
      <c r="CW2" s="22" t="s">
        <v>16</v>
      </c>
      <c r="CX2" s="22" t="s">
        <v>17</v>
      </c>
      <c r="CY2" s="11" t="s">
        <v>18</v>
      </c>
      <c r="CZ2" s="22" t="s">
        <v>19</v>
      </c>
      <c r="DA2" s="22" t="s">
        <v>20</v>
      </c>
      <c r="DB2" s="11" t="s">
        <v>21</v>
      </c>
      <c r="DC2" s="22" t="s">
        <v>22</v>
      </c>
      <c r="DD2" s="22" t="s">
        <v>23</v>
      </c>
      <c r="DE2" s="11" t="s">
        <v>24</v>
      </c>
      <c r="DF2" s="14" t="s">
        <v>16</v>
      </c>
      <c r="DG2" s="14" t="s">
        <v>17</v>
      </c>
      <c r="DH2" s="14" t="s">
        <v>18</v>
      </c>
      <c r="DI2" s="14" t="s">
        <v>19</v>
      </c>
      <c r="DJ2" s="14" t="s">
        <v>20</v>
      </c>
      <c r="DK2" s="14" t="s">
        <v>21</v>
      </c>
      <c r="DL2" s="14" t="s">
        <v>22</v>
      </c>
      <c r="DM2" s="14" t="s">
        <v>23</v>
      </c>
      <c r="DN2" s="14" t="s">
        <v>24</v>
      </c>
      <c r="DO2" s="19" t="s">
        <v>197</v>
      </c>
      <c r="DP2" s="19" t="s">
        <v>198</v>
      </c>
      <c r="DQ2" s="11" t="s">
        <v>18</v>
      </c>
      <c r="DR2" s="19" t="s">
        <v>19</v>
      </c>
      <c r="DS2" s="19" t="s">
        <v>20</v>
      </c>
      <c r="DT2" s="11" t="s">
        <v>21</v>
      </c>
      <c r="DU2" s="19" t="s">
        <v>22</v>
      </c>
      <c r="DV2" s="19" t="s">
        <v>23</v>
      </c>
      <c r="DW2" s="11" t="s">
        <v>24</v>
      </c>
      <c r="DX2" s="19" t="s">
        <v>16</v>
      </c>
      <c r="DY2" s="19" t="s">
        <v>17</v>
      </c>
      <c r="DZ2" s="11" t="s">
        <v>18</v>
      </c>
      <c r="EA2" s="19" t="s">
        <v>19</v>
      </c>
      <c r="EB2" s="19" t="s">
        <v>20</v>
      </c>
      <c r="EC2" s="11" t="s">
        <v>21</v>
      </c>
      <c r="ED2" s="19" t="s">
        <v>22</v>
      </c>
      <c r="EE2" s="19" t="s">
        <v>23</v>
      </c>
      <c r="EF2" s="11" t="s">
        <v>24</v>
      </c>
      <c r="EG2" s="12" t="s">
        <v>5</v>
      </c>
      <c r="EH2" s="12" t="s">
        <v>6</v>
      </c>
      <c r="EI2" s="12" t="s">
        <v>36</v>
      </c>
      <c r="EJ2" s="12" t="s">
        <v>37</v>
      </c>
      <c r="EK2" s="12" t="s">
        <v>38</v>
      </c>
    </row>
    <row r="3" spans="1:142" customFormat="1" ht="23.25" customHeight="1" x14ac:dyDescent="0.25">
      <c r="A3" s="51">
        <v>36</v>
      </c>
      <c r="B3" s="43" t="s">
        <v>116</v>
      </c>
      <c r="C3" s="48" t="s">
        <v>117</v>
      </c>
      <c r="D3" s="64">
        <v>42803</v>
      </c>
      <c r="E3" s="64">
        <v>42815</v>
      </c>
      <c r="F3" s="64">
        <v>42957</v>
      </c>
      <c r="G3" s="64">
        <v>42959</v>
      </c>
      <c r="H3" s="46">
        <v>13414</v>
      </c>
      <c r="I3" s="46">
        <v>0</v>
      </c>
      <c r="J3" s="46">
        <v>13344</v>
      </c>
      <c r="K3" s="46">
        <f t="shared" ref="K3:K47" si="0">SUM(H3:J3)</f>
        <v>26758</v>
      </c>
      <c r="L3" s="46">
        <v>504107</v>
      </c>
      <c r="M3" s="46">
        <v>0</v>
      </c>
      <c r="N3" s="46">
        <v>550574</v>
      </c>
      <c r="O3" s="46">
        <f t="shared" ref="O3:O47" si="1">SUM(L3:N3)</f>
        <v>1054681</v>
      </c>
      <c r="P3" s="46">
        <v>395078</v>
      </c>
      <c r="Q3" s="46">
        <v>0</v>
      </c>
      <c r="R3" s="46">
        <v>465051</v>
      </c>
      <c r="S3" s="46">
        <f t="shared" ref="S3:S47" si="2">SUM(P3:R3)</f>
        <v>860129</v>
      </c>
      <c r="T3" s="46">
        <f t="shared" ref="T3:T50" si="3">ROUND(S3*100/O3,2)</f>
        <v>81.55</v>
      </c>
      <c r="U3" s="46">
        <v>2647</v>
      </c>
      <c r="V3" s="46">
        <v>5518</v>
      </c>
      <c r="W3" s="46">
        <v>6237</v>
      </c>
      <c r="X3" s="46">
        <v>4518</v>
      </c>
      <c r="Y3" s="46">
        <v>3344</v>
      </c>
      <c r="Z3" s="46">
        <v>2163</v>
      </c>
      <c r="AA3" s="46">
        <v>2197</v>
      </c>
      <c r="AB3" s="47">
        <f t="shared" ref="AB3:AB50" si="4">K3-U3-V3-W3-X3-Y3-Z3-AA3</f>
        <v>134</v>
      </c>
      <c r="AC3" s="46">
        <v>608759</v>
      </c>
      <c r="AD3" s="46">
        <v>458629</v>
      </c>
      <c r="AE3" s="46">
        <f t="shared" ref="AE3:AE50" si="5">AC3+AD3</f>
        <v>1067388</v>
      </c>
      <c r="AF3" s="46">
        <v>113624</v>
      </c>
      <c r="AG3" s="46">
        <v>86029</v>
      </c>
      <c r="AH3" s="46">
        <f t="shared" ref="AH3:AH50" si="6">AF3+AG3</f>
        <v>199653</v>
      </c>
      <c r="AI3" s="46">
        <v>77656</v>
      </c>
      <c r="AJ3" s="46">
        <v>67356</v>
      </c>
      <c r="AK3" s="46">
        <f t="shared" ref="AK3:AK50" si="7">AI3+AJ3</f>
        <v>145012</v>
      </c>
      <c r="AL3" s="46">
        <v>482743</v>
      </c>
      <c r="AM3" s="46">
        <v>363450</v>
      </c>
      <c r="AN3" s="46">
        <f t="shared" ref="AN3:AN50" si="8">AL3+AM3</f>
        <v>846193</v>
      </c>
      <c r="AO3" s="46">
        <v>86356</v>
      </c>
      <c r="AP3" s="46">
        <v>63950</v>
      </c>
      <c r="AQ3" s="46">
        <f t="shared" ref="AQ3:AQ50" si="9">AO3+AP3</f>
        <v>150306</v>
      </c>
      <c r="AR3" s="46">
        <v>56155</v>
      </c>
      <c r="AS3" s="46">
        <v>46530</v>
      </c>
      <c r="AT3" s="46">
        <f t="shared" ref="AT3:AT50" si="10">AR3+AS3</f>
        <v>102685</v>
      </c>
      <c r="AU3" s="46">
        <v>0</v>
      </c>
      <c r="AV3" s="46">
        <v>0</v>
      </c>
      <c r="AW3" s="46">
        <f t="shared" ref="AW3:AW50" si="11">AU3+AV3</f>
        <v>0</v>
      </c>
      <c r="AX3" s="46">
        <v>0</v>
      </c>
      <c r="AY3" s="46">
        <v>0</v>
      </c>
      <c r="AZ3" s="46">
        <f t="shared" ref="AZ3:AZ50" si="12">AX3+AY3</f>
        <v>0</v>
      </c>
      <c r="BA3" s="46">
        <v>0</v>
      </c>
      <c r="BB3" s="46">
        <v>0</v>
      </c>
      <c r="BC3" s="46">
        <f t="shared" ref="BC3:BC50" si="13">BA3+BB3</f>
        <v>0</v>
      </c>
      <c r="BD3" s="46">
        <f t="shared" ref="BD3:BE8" si="14">AL3+AU3</f>
        <v>482743</v>
      </c>
      <c r="BE3" s="46">
        <f t="shared" si="14"/>
        <v>363450</v>
      </c>
      <c r="BF3" s="46">
        <f t="shared" ref="BF3:BF50" si="15">BD3+BE3</f>
        <v>846193</v>
      </c>
      <c r="BG3" s="46">
        <f t="shared" ref="BG3:BH8" si="16">AO3+AX3</f>
        <v>86356</v>
      </c>
      <c r="BH3" s="46">
        <f t="shared" si="16"/>
        <v>63950</v>
      </c>
      <c r="BI3" s="46">
        <f t="shared" ref="BI3:BI50" si="17">BG3+BH3</f>
        <v>150306</v>
      </c>
      <c r="BJ3" s="46">
        <f t="shared" ref="BJ3:BK8" si="18">AR3+BA3</f>
        <v>56155</v>
      </c>
      <c r="BK3" s="46">
        <f t="shared" si="18"/>
        <v>46530</v>
      </c>
      <c r="BL3" s="46">
        <f t="shared" ref="BL3:BL50" si="19">BJ3+BK3</f>
        <v>102685</v>
      </c>
      <c r="BM3" s="46">
        <f t="shared" ref="BM3:BM50" si="20">ROUND(BD3*100/AC3,2)</f>
        <v>79.3</v>
      </c>
      <c r="BN3" s="46">
        <f t="shared" ref="BN3:BN50" si="21">ROUND(BE3*100/AD3,2)</f>
        <v>79.25</v>
      </c>
      <c r="BO3" s="46">
        <f t="shared" ref="BO3:BO50" si="22">ROUND(BF3*100/AE3,2)</f>
        <v>79.28</v>
      </c>
      <c r="BP3" s="46">
        <f t="shared" ref="BP3:BP50" si="23">ROUND(BG3*100/AF3,2)</f>
        <v>76</v>
      </c>
      <c r="BQ3" s="46">
        <f t="shared" ref="BQ3:BQ50" si="24">ROUND(BH3*100/AG3,2)</f>
        <v>74.34</v>
      </c>
      <c r="BR3" s="46">
        <f t="shared" ref="BR3:BR50" si="25">ROUND(BI3*100/AH3,2)</f>
        <v>75.28</v>
      </c>
      <c r="BS3" s="46">
        <f t="shared" ref="BS3:BS50" si="26">ROUND(BJ3*100/AI3,2)</f>
        <v>72.31</v>
      </c>
      <c r="BT3" s="46">
        <f t="shared" ref="BT3:BT50" si="27">ROUND(BK3*100/AJ3,2)</f>
        <v>69.08</v>
      </c>
      <c r="BU3" s="46">
        <f t="shared" ref="BU3:BU50" si="28">ROUND(BL3*100/AK3,2)</f>
        <v>70.81</v>
      </c>
      <c r="BV3" s="46">
        <v>2930</v>
      </c>
      <c r="BW3" s="46">
        <v>2481</v>
      </c>
      <c r="BX3" s="46">
        <f t="shared" ref="BX3:BX50" si="29">BV3+BW3</f>
        <v>5411</v>
      </c>
      <c r="BY3" s="46">
        <v>590</v>
      </c>
      <c r="BZ3" s="46">
        <v>493</v>
      </c>
      <c r="CA3" s="46">
        <f t="shared" ref="CA3:CA11" si="30">BY3+BZ3</f>
        <v>1083</v>
      </c>
      <c r="CB3" s="46">
        <v>158</v>
      </c>
      <c r="CC3" s="46">
        <v>135</v>
      </c>
      <c r="CD3" s="46">
        <f t="shared" ref="CD3:CD50" si="31">CB3+CC3</f>
        <v>293</v>
      </c>
      <c r="CE3" s="46">
        <v>539</v>
      </c>
      <c r="CF3" s="46">
        <v>331</v>
      </c>
      <c r="CG3" s="46">
        <f t="shared" ref="CG3:CG11" si="32">CE3+CF3</f>
        <v>870</v>
      </c>
      <c r="CH3" s="46">
        <v>59</v>
      </c>
      <c r="CI3" s="46">
        <v>34</v>
      </c>
      <c r="CJ3" s="46">
        <f t="shared" ref="CJ3:CJ50" si="33">CH3+CI3</f>
        <v>93</v>
      </c>
      <c r="CK3" s="46">
        <v>8</v>
      </c>
      <c r="CL3" s="46">
        <v>9</v>
      </c>
      <c r="CM3" s="46">
        <f t="shared" ref="CM3:CM50" si="34">CK3+CL3</f>
        <v>17</v>
      </c>
      <c r="CN3" s="46">
        <v>0</v>
      </c>
      <c r="CO3" s="46">
        <v>0</v>
      </c>
      <c r="CP3" s="46">
        <f t="shared" ref="CP3:CP50" si="35">CN3+CO3</f>
        <v>0</v>
      </c>
      <c r="CQ3" s="46">
        <v>0</v>
      </c>
      <c r="CR3" s="46">
        <v>0</v>
      </c>
      <c r="CS3" s="46">
        <f t="shared" ref="CS3:CS50" si="36">CQ3+CR3</f>
        <v>0</v>
      </c>
      <c r="CT3" s="46">
        <v>0</v>
      </c>
      <c r="CU3" s="46">
        <v>0</v>
      </c>
      <c r="CV3" s="46">
        <f t="shared" ref="CV3:CV50" si="37">CT3+CU3</f>
        <v>0</v>
      </c>
      <c r="CW3" s="46">
        <f t="shared" ref="CW3:CX8" si="38">CE3+CN3</f>
        <v>539</v>
      </c>
      <c r="CX3" s="46">
        <f t="shared" si="38"/>
        <v>331</v>
      </c>
      <c r="CY3" s="46">
        <f t="shared" ref="CY3:CY50" si="39">CW3+CX3</f>
        <v>870</v>
      </c>
      <c r="CZ3" s="46">
        <f t="shared" ref="CZ3:DA8" si="40">CH3+CQ3</f>
        <v>59</v>
      </c>
      <c r="DA3" s="46">
        <f t="shared" si="40"/>
        <v>34</v>
      </c>
      <c r="DB3" s="46">
        <f t="shared" ref="DB3:DB50" si="41">CZ3+DA3</f>
        <v>93</v>
      </c>
      <c r="DC3" s="46">
        <f t="shared" ref="DC3:DD8" si="42">CK3+CT3</f>
        <v>8</v>
      </c>
      <c r="DD3" s="46">
        <f t="shared" si="42"/>
        <v>9</v>
      </c>
      <c r="DE3" s="46">
        <f t="shared" ref="DE3:DE50" si="43">DC3+DD3</f>
        <v>17</v>
      </c>
      <c r="DF3" s="46">
        <f t="shared" ref="DF3:DF50" si="44">ROUND(CW3*100/BV3,2)</f>
        <v>18.399999999999999</v>
      </c>
      <c r="DG3" s="46">
        <f t="shared" ref="DG3:DG50" si="45">ROUND(CX3*100/BW3,2)</f>
        <v>13.34</v>
      </c>
      <c r="DH3" s="46">
        <f t="shared" ref="DH3:DH50" si="46">ROUND(CY3*100/BX3,2)</f>
        <v>16.079999999999998</v>
      </c>
      <c r="DI3" s="46">
        <f t="shared" ref="DI3:DI50" si="47">ROUND(CZ3*100/BY3,2)</f>
        <v>10</v>
      </c>
      <c r="DJ3" s="46">
        <f t="shared" ref="DJ3:DJ50" si="48">ROUND(DA3*100/BZ3,2)</f>
        <v>6.9</v>
      </c>
      <c r="DK3" s="46">
        <f t="shared" ref="DK3:DK50" si="49">ROUND(DB3*100/CA3,2)</f>
        <v>8.59</v>
      </c>
      <c r="DL3" s="46">
        <f t="shared" ref="DL3:DL50" si="50">ROUND(DC3*100/CB3,2)</f>
        <v>5.0599999999999996</v>
      </c>
      <c r="DM3" s="46">
        <f t="shared" ref="DM3:DM50" si="51">ROUND(DD3*100/CC3,2)</f>
        <v>6.67</v>
      </c>
      <c r="DN3" s="46">
        <f t="shared" ref="DN3:DN50" si="52">ROUND(DE3*100/CD3,2)</f>
        <v>5.8</v>
      </c>
      <c r="DO3" s="46">
        <v>176070</v>
      </c>
      <c r="DP3" s="46">
        <v>134498</v>
      </c>
      <c r="DQ3" s="46">
        <f t="shared" ref="DQ3:DQ27" si="53">DO3+DP3</f>
        <v>310568</v>
      </c>
      <c r="DR3" s="46">
        <v>25724</v>
      </c>
      <c r="DS3" s="46">
        <v>17687</v>
      </c>
      <c r="DT3" s="46">
        <f t="shared" ref="DT3:DT27" si="54">DR3+DS3</f>
        <v>43411</v>
      </c>
      <c r="DU3" s="46">
        <v>13960</v>
      </c>
      <c r="DV3" s="46">
        <v>9206</v>
      </c>
      <c r="DW3" s="46">
        <f t="shared" ref="DW3:DW27" si="55">DU3+DV3</f>
        <v>23166</v>
      </c>
      <c r="DX3" s="46">
        <v>429055</v>
      </c>
      <c r="DY3" s="46">
        <v>319223</v>
      </c>
      <c r="DZ3" s="46">
        <f t="shared" ref="DZ3:DZ27" si="56">DX3+DY3</f>
        <v>748278</v>
      </c>
      <c r="EA3" s="46">
        <v>86920</v>
      </c>
      <c r="EB3" s="46">
        <v>67160</v>
      </c>
      <c r="EC3" s="46">
        <f t="shared" ref="EC3:EC27" si="57">EA3+EB3</f>
        <v>154080</v>
      </c>
      <c r="ED3" s="46">
        <v>63129</v>
      </c>
      <c r="EE3" s="46">
        <v>57447</v>
      </c>
      <c r="EF3" s="46">
        <f t="shared" ref="EF3:EF27" si="58">ED3+EE3</f>
        <v>120576</v>
      </c>
      <c r="EG3" s="46">
        <f t="shared" ref="EG3:EG50" si="59">O3-AE3-BX3</f>
        <v>-18118</v>
      </c>
      <c r="EH3" s="46">
        <f t="shared" ref="EH3:EH50" si="60">S3-BF3-CY3</f>
        <v>13066</v>
      </c>
      <c r="EI3" s="46">
        <f t="shared" ref="EI3:EI28" si="61">DQ3+DZ3-CY3-BF3</f>
        <v>211783</v>
      </c>
      <c r="EJ3" s="46">
        <f t="shared" ref="EJ3:EJ50" si="62">DT3+EC3-DB3-BI3</f>
        <v>47092</v>
      </c>
      <c r="EK3" s="46">
        <f t="shared" ref="EK3:EK50" si="63">DW3+EF3-DE3-BL3</f>
        <v>41040</v>
      </c>
      <c r="EL3" s="3"/>
    </row>
    <row r="4" spans="1:142" s="34" customFormat="1" ht="34.5" customHeight="1" x14ac:dyDescent="0.25">
      <c r="A4" s="51">
        <v>20</v>
      </c>
      <c r="B4" s="43" t="s">
        <v>88</v>
      </c>
      <c r="C4" s="48" t="s">
        <v>89</v>
      </c>
      <c r="D4" s="64">
        <v>42798</v>
      </c>
      <c r="E4" s="64">
        <v>42823</v>
      </c>
      <c r="F4" s="64">
        <v>42916</v>
      </c>
      <c r="G4" s="64">
        <v>42921</v>
      </c>
      <c r="H4" s="46">
        <v>8</v>
      </c>
      <c r="I4" s="46">
        <v>0</v>
      </c>
      <c r="J4" s="46">
        <v>0</v>
      </c>
      <c r="K4" s="2">
        <f t="shared" si="0"/>
        <v>8</v>
      </c>
      <c r="L4" s="46">
        <v>1638</v>
      </c>
      <c r="M4" s="46">
        <v>0</v>
      </c>
      <c r="N4" s="46">
        <v>0</v>
      </c>
      <c r="O4" s="2">
        <f t="shared" si="1"/>
        <v>1638</v>
      </c>
      <c r="P4" s="46">
        <v>1588</v>
      </c>
      <c r="Q4" s="46">
        <v>0</v>
      </c>
      <c r="R4" s="46">
        <v>0</v>
      </c>
      <c r="S4" s="2">
        <f t="shared" si="2"/>
        <v>1588</v>
      </c>
      <c r="T4" s="15">
        <f t="shared" si="3"/>
        <v>96.95</v>
      </c>
      <c r="U4" s="46">
        <v>0</v>
      </c>
      <c r="V4" s="46">
        <v>326</v>
      </c>
      <c r="W4" s="46">
        <v>405</v>
      </c>
      <c r="X4" s="46">
        <v>348</v>
      </c>
      <c r="Y4" s="46">
        <v>303</v>
      </c>
      <c r="Z4" s="46">
        <v>204</v>
      </c>
      <c r="AA4" s="46">
        <v>52</v>
      </c>
      <c r="AB4" s="47">
        <f t="shared" si="4"/>
        <v>-1630</v>
      </c>
      <c r="AC4" s="46">
        <v>876</v>
      </c>
      <c r="AD4" s="46">
        <v>762</v>
      </c>
      <c r="AE4" s="46">
        <f t="shared" si="5"/>
        <v>1638</v>
      </c>
      <c r="AF4" s="46">
        <v>10</v>
      </c>
      <c r="AG4" s="46">
        <v>7</v>
      </c>
      <c r="AH4" s="46">
        <f t="shared" si="6"/>
        <v>17</v>
      </c>
      <c r="AI4" s="46">
        <v>0</v>
      </c>
      <c r="AJ4" s="46">
        <v>0</v>
      </c>
      <c r="AK4" s="2">
        <f t="shared" si="7"/>
        <v>0</v>
      </c>
      <c r="AL4" s="46">
        <v>854</v>
      </c>
      <c r="AM4" s="46">
        <v>719</v>
      </c>
      <c r="AN4" s="46">
        <f t="shared" si="8"/>
        <v>1573</v>
      </c>
      <c r="AO4" s="46">
        <v>10</v>
      </c>
      <c r="AP4" s="46">
        <v>7</v>
      </c>
      <c r="AQ4" s="46">
        <f t="shared" si="9"/>
        <v>17</v>
      </c>
      <c r="AR4" s="46">
        <v>0</v>
      </c>
      <c r="AS4" s="46">
        <v>0</v>
      </c>
      <c r="AT4" s="46">
        <f t="shared" si="10"/>
        <v>0</v>
      </c>
      <c r="AU4" s="46">
        <v>8</v>
      </c>
      <c r="AV4" s="46">
        <v>7</v>
      </c>
      <c r="AW4" s="46">
        <f t="shared" si="11"/>
        <v>15</v>
      </c>
      <c r="AX4" s="46">
        <v>0</v>
      </c>
      <c r="AY4" s="46">
        <v>0</v>
      </c>
      <c r="AZ4" s="2">
        <f t="shared" si="12"/>
        <v>0</v>
      </c>
      <c r="BA4" s="46">
        <v>0</v>
      </c>
      <c r="BB4" s="46">
        <v>0</v>
      </c>
      <c r="BC4" s="46">
        <f t="shared" si="13"/>
        <v>0</v>
      </c>
      <c r="BD4" s="46">
        <f t="shared" si="14"/>
        <v>862</v>
      </c>
      <c r="BE4" s="46">
        <f t="shared" si="14"/>
        <v>726</v>
      </c>
      <c r="BF4" s="46">
        <f t="shared" si="15"/>
        <v>1588</v>
      </c>
      <c r="BG4" s="46">
        <f t="shared" si="16"/>
        <v>10</v>
      </c>
      <c r="BH4" s="46">
        <f t="shared" si="16"/>
        <v>7</v>
      </c>
      <c r="BI4" s="46">
        <f t="shared" si="17"/>
        <v>17</v>
      </c>
      <c r="BJ4" s="46">
        <f t="shared" si="18"/>
        <v>0</v>
      </c>
      <c r="BK4" s="46">
        <f t="shared" si="18"/>
        <v>0</v>
      </c>
      <c r="BL4" s="46">
        <f t="shared" si="19"/>
        <v>0</v>
      </c>
      <c r="BM4" s="46">
        <f t="shared" si="20"/>
        <v>98.4</v>
      </c>
      <c r="BN4" s="46">
        <f t="shared" si="21"/>
        <v>95.28</v>
      </c>
      <c r="BO4" s="46">
        <f t="shared" si="22"/>
        <v>96.95</v>
      </c>
      <c r="BP4" s="46">
        <f t="shared" si="23"/>
        <v>100</v>
      </c>
      <c r="BQ4" s="46">
        <f t="shared" si="24"/>
        <v>100</v>
      </c>
      <c r="BR4" s="46">
        <f t="shared" si="25"/>
        <v>100</v>
      </c>
      <c r="BS4" s="46" t="e">
        <f t="shared" si="26"/>
        <v>#DIV/0!</v>
      </c>
      <c r="BT4" s="46" t="e">
        <f t="shared" si="27"/>
        <v>#DIV/0!</v>
      </c>
      <c r="BU4" s="46" t="e">
        <f t="shared" si="28"/>
        <v>#DIV/0!</v>
      </c>
      <c r="BV4" s="46">
        <v>0</v>
      </c>
      <c r="BW4" s="46">
        <v>400</v>
      </c>
      <c r="BX4" s="46">
        <f t="shared" si="29"/>
        <v>400</v>
      </c>
      <c r="BY4" s="46">
        <v>0</v>
      </c>
      <c r="BZ4" s="46">
        <v>0</v>
      </c>
      <c r="CA4" s="2">
        <f t="shared" si="30"/>
        <v>0</v>
      </c>
      <c r="CB4" s="46">
        <v>0</v>
      </c>
      <c r="CC4" s="46">
        <v>0</v>
      </c>
      <c r="CD4" s="2">
        <f t="shared" si="31"/>
        <v>0</v>
      </c>
      <c r="CE4" s="46">
        <v>0</v>
      </c>
      <c r="CF4" s="46">
        <v>150</v>
      </c>
      <c r="CG4" s="46">
        <f t="shared" si="32"/>
        <v>150</v>
      </c>
      <c r="CH4" s="46">
        <v>0</v>
      </c>
      <c r="CI4" s="46">
        <v>0</v>
      </c>
      <c r="CJ4" s="2">
        <f t="shared" si="33"/>
        <v>0</v>
      </c>
      <c r="CK4" s="46">
        <v>0</v>
      </c>
      <c r="CL4" s="46">
        <v>0</v>
      </c>
      <c r="CM4" s="2">
        <f t="shared" si="34"/>
        <v>0</v>
      </c>
      <c r="CN4" s="46">
        <v>0</v>
      </c>
      <c r="CO4" s="46">
        <f>250+74</f>
        <v>324</v>
      </c>
      <c r="CP4" s="2">
        <f t="shared" si="35"/>
        <v>324</v>
      </c>
      <c r="CQ4" s="46">
        <v>0</v>
      </c>
      <c r="CR4" s="46">
        <v>0</v>
      </c>
      <c r="CS4" s="2">
        <f t="shared" si="36"/>
        <v>0</v>
      </c>
      <c r="CT4" s="46">
        <v>0</v>
      </c>
      <c r="CU4" s="46">
        <v>0</v>
      </c>
      <c r="CV4" s="2">
        <f t="shared" si="37"/>
        <v>0</v>
      </c>
      <c r="CW4" s="46">
        <f t="shared" si="38"/>
        <v>0</v>
      </c>
      <c r="CX4" s="46">
        <f t="shared" si="38"/>
        <v>474</v>
      </c>
      <c r="CY4" s="46">
        <f t="shared" si="39"/>
        <v>474</v>
      </c>
      <c r="CZ4" s="28">
        <f t="shared" si="40"/>
        <v>0</v>
      </c>
      <c r="DA4" s="28">
        <f t="shared" si="40"/>
        <v>0</v>
      </c>
      <c r="DB4" s="2">
        <f t="shared" si="41"/>
        <v>0</v>
      </c>
      <c r="DC4" s="28">
        <f t="shared" si="42"/>
        <v>0</v>
      </c>
      <c r="DD4" s="28">
        <f t="shared" si="42"/>
        <v>0</v>
      </c>
      <c r="DE4" s="2">
        <f t="shared" si="43"/>
        <v>0</v>
      </c>
      <c r="DF4" s="46" t="e">
        <f t="shared" si="44"/>
        <v>#DIV/0!</v>
      </c>
      <c r="DG4" s="46">
        <f t="shared" si="45"/>
        <v>118.5</v>
      </c>
      <c r="DH4" s="46">
        <f t="shared" si="46"/>
        <v>118.5</v>
      </c>
      <c r="DI4" s="28" t="e">
        <f t="shared" si="47"/>
        <v>#DIV/0!</v>
      </c>
      <c r="DJ4" s="28" t="e">
        <f t="shared" si="48"/>
        <v>#DIV/0!</v>
      </c>
      <c r="DK4" s="28" t="e">
        <f t="shared" si="49"/>
        <v>#DIV/0!</v>
      </c>
      <c r="DL4" s="28" t="e">
        <f t="shared" si="50"/>
        <v>#DIV/0!</v>
      </c>
      <c r="DM4" s="28" t="e">
        <f t="shared" si="51"/>
        <v>#DIV/0!</v>
      </c>
      <c r="DN4" s="28" t="e">
        <f t="shared" si="52"/>
        <v>#DIV/0!</v>
      </c>
      <c r="DO4" s="46">
        <v>853</v>
      </c>
      <c r="DP4" s="46">
        <v>733</v>
      </c>
      <c r="DQ4" s="46">
        <f t="shared" si="53"/>
        <v>1586</v>
      </c>
      <c r="DR4" s="46">
        <v>10</v>
      </c>
      <c r="DS4" s="46">
        <v>7</v>
      </c>
      <c r="DT4" s="46">
        <f t="shared" si="54"/>
        <v>17</v>
      </c>
      <c r="DU4" s="46">
        <v>0</v>
      </c>
      <c r="DV4" s="46">
        <v>0</v>
      </c>
      <c r="DW4" s="46">
        <f t="shared" si="55"/>
        <v>0</v>
      </c>
      <c r="DX4" s="46">
        <v>23</v>
      </c>
      <c r="DY4" s="46">
        <v>29</v>
      </c>
      <c r="DZ4" s="2">
        <f t="shared" si="56"/>
        <v>52</v>
      </c>
      <c r="EA4" s="46">
        <v>0</v>
      </c>
      <c r="EB4" s="46">
        <v>0</v>
      </c>
      <c r="EC4" s="2">
        <f t="shared" si="57"/>
        <v>0</v>
      </c>
      <c r="ED4" s="46">
        <v>0</v>
      </c>
      <c r="EE4" s="46">
        <v>0</v>
      </c>
      <c r="EF4" s="2">
        <f t="shared" si="58"/>
        <v>0</v>
      </c>
      <c r="EG4" s="46">
        <f t="shared" si="59"/>
        <v>-400</v>
      </c>
      <c r="EH4" s="46">
        <f t="shared" si="60"/>
        <v>-474</v>
      </c>
      <c r="EI4" s="46">
        <f t="shared" si="61"/>
        <v>-424</v>
      </c>
      <c r="EJ4" s="46">
        <f t="shared" si="62"/>
        <v>0</v>
      </c>
      <c r="EK4" s="46">
        <f t="shared" si="63"/>
        <v>0</v>
      </c>
      <c r="EL4" s="3"/>
    </row>
    <row r="5" spans="1:142" s="34" customFormat="1" ht="40.5" customHeight="1" x14ac:dyDescent="0.25">
      <c r="A5" s="51">
        <v>29</v>
      </c>
      <c r="B5" s="68" t="s">
        <v>108</v>
      </c>
      <c r="C5" s="48" t="s">
        <v>105</v>
      </c>
      <c r="D5" s="64">
        <v>42811</v>
      </c>
      <c r="E5" s="64">
        <v>42739</v>
      </c>
      <c r="F5" s="64">
        <v>42900</v>
      </c>
      <c r="G5" s="64">
        <v>42914</v>
      </c>
      <c r="H5" s="46">
        <v>5991</v>
      </c>
      <c r="I5" s="46">
        <v>416</v>
      </c>
      <c r="J5" s="46">
        <v>4736</v>
      </c>
      <c r="K5" s="46">
        <f t="shared" si="0"/>
        <v>11143</v>
      </c>
      <c r="L5" s="46">
        <v>356314</v>
      </c>
      <c r="M5" s="46">
        <v>21689</v>
      </c>
      <c r="N5" s="46">
        <v>231499</v>
      </c>
      <c r="O5" s="46">
        <f t="shared" si="1"/>
        <v>609502</v>
      </c>
      <c r="P5" s="46">
        <v>316337</v>
      </c>
      <c r="Q5" s="46">
        <v>18763</v>
      </c>
      <c r="R5" s="46">
        <v>225153</v>
      </c>
      <c r="S5" s="46">
        <f t="shared" si="2"/>
        <v>560253</v>
      </c>
      <c r="T5" s="46">
        <f t="shared" si="3"/>
        <v>91.92</v>
      </c>
      <c r="U5" s="46">
        <v>4102</v>
      </c>
      <c r="V5" s="46">
        <v>8188</v>
      </c>
      <c r="W5" s="46">
        <v>1555</v>
      </c>
      <c r="X5" s="46">
        <v>686</v>
      </c>
      <c r="Y5" s="46">
        <v>370</v>
      </c>
      <c r="Z5" s="46">
        <v>251</v>
      </c>
      <c r="AA5" s="46">
        <v>268</v>
      </c>
      <c r="AB5" s="47">
        <f t="shared" si="4"/>
        <v>-4277</v>
      </c>
      <c r="AC5" s="46">
        <v>314471</v>
      </c>
      <c r="AD5" s="46">
        <v>295031</v>
      </c>
      <c r="AE5" s="46">
        <f t="shared" si="5"/>
        <v>609502</v>
      </c>
      <c r="AF5" s="46">
        <v>58595</v>
      </c>
      <c r="AG5" s="46">
        <v>57980</v>
      </c>
      <c r="AH5" s="46">
        <f t="shared" si="6"/>
        <v>116575</v>
      </c>
      <c r="AI5" s="46">
        <v>14898</v>
      </c>
      <c r="AJ5" s="46">
        <v>14787</v>
      </c>
      <c r="AK5" s="46">
        <f t="shared" si="7"/>
        <v>29685</v>
      </c>
      <c r="AL5" s="46">
        <v>288909</v>
      </c>
      <c r="AM5" s="46">
        <v>271344</v>
      </c>
      <c r="AN5" s="46">
        <f t="shared" si="8"/>
        <v>560253</v>
      </c>
      <c r="AO5" s="46">
        <v>51610</v>
      </c>
      <c r="AP5" s="46">
        <v>51191</v>
      </c>
      <c r="AQ5" s="46">
        <f t="shared" si="9"/>
        <v>102801</v>
      </c>
      <c r="AR5" s="46">
        <v>12543</v>
      </c>
      <c r="AS5" s="46">
        <v>12328</v>
      </c>
      <c r="AT5" s="46">
        <f t="shared" si="10"/>
        <v>24871</v>
      </c>
      <c r="AU5" s="46">
        <v>0</v>
      </c>
      <c r="AV5" s="46">
        <v>0</v>
      </c>
      <c r="AW5" s="46">
        <f t="shared" si="11"/>
        <v>0</v>
      </c>
      <c r="AX5" s="46">
        <v>0</v>
      </c>
      <c r="AY5" s="46">
        <v>0</v>
      </c>
      <c r="AZ5" s="46">
        <f t="shared" si="12"/>
        <v>0</v>
      </c>
      <c r="BA5" s="46">
        <v>0</v>
      </c>
      <c r="BB5" s="46">
        <v>0</v>
      </c>
      <c r="BC5" s="46">
        <f t="shared" si="13"/>
        <v>0</v>
      </c>
      <c r="BD5" s="46">
        <f t="shared" si="14"/>
        <v>288909</v>
      </c>
      <c r="BE5" s="46">
        <f t="shared" si="14"/>
        <v>271344</v>
      </c>
      <c r="BF5" s="46">
        <f t="shared" si="15"/>
        <v>560253</v>
      </c>
      <c r="BG5" s="46">
        <f t="shared" si="16"/>
        <v>51610</v>
      </c>
      <c r="BH5" s="46">
        <f t="shared" si="16"/>
        <v>51191</v>
      </c>
      <c r="BI5" s="46">
        <f t="shared" si="17"/>
        <v>102801</v>
      </c>
      <c r="BJ5" s="46">
        <f t="shared" si="18"/>
        <v>12543</v>
      </c>
      <c r="BK5" s="46">
        <f t="shared" si="18"/>
        <v>12328</v>
      </c>
      <c r="BL5" s="46">
        <f t="shared" si="19"/>
        <v>24871</v>
      </c>
      <c r="BM5" s="46">
        <f t="shared" si="20"/>
        <v>91.87</v>
      </c>
      <c r="BN5" s="46">
        <f t="shared" si="21"/>
        <v>91.97</v>
      </c>
      <c r="BO5" s="46">
        <f t="shared" si="22"/>
        <v>91.92</v>
      </c>
      <c r="BP5" s="46">
        <f t="shared" si="23"/>
        <v>88.08</v>
      </c>
      <c r="BQ5" s="46">
        <f t="shared" si="24"/>
        <v>88.29</v>
      </c>
      <c r="BR5" s="46">
        <f t="shared" si="25"/>
        <v>88.18</v>
      </c>
      <c r="BS5" s="46">
        <f t="shared" si="26"/>
        <v>84.19</v>
      </c>
      <c r="BT5" s="46">
        <f t="shared" si="27"/>
        <v>83.37</v>
      </c>
      <c r="BU5" s="46">
        <f t="shared" si="28"/>
        <v>83.78</v>
      </c>
      <c r="BV5" s="46">
        <v>8340</v>
      </c>
      <c r="BW5" s="46">
        <v>4696</v>
      </c>
      <c r="BX5" s="46">
        <f t="shared" si="29"/>
        <v>13036</v>
      </c>
      <c r="BY5" s="46">
        <v>2425</v>
      </c>
      <c r="BZ5" s="46">
        <v>1517</v>
      </c>
      <c r="CA5" s="46">
        <f t="shared" si="30"/>
        <v>3942</v>
      </c>
      <c r="CB5" s="46">
        <v>441</v>
      </c>
      <c r="CC5" s="46">
        <v>336</v>
      </c>
      <c r="CD5" s="46">
        <f t="shared" si="31"/>
        <v>777</v>
      </c>
      <c r="CE5" s="46">
        <v>5095</v>
      </c>
      <c r="CF5" s="46">
        <v>3167</v>
      </c>
      <c r="CG5" s="46">
        <f t="shared" si="32"/>
        <v>8262</v>
      </c>
      <c r="CH5" s="46">
        <v>1379</v>
      </c>
      <c r="CI5" s="46">
        <v>964</v>
      </c>
      <c r="CJ5" s="46">
        <f t="shared" si="33"/>
        <v>2343</v>
      </c>
      <c r="CK5" s="46">
        <v>256</v>
      </c>
      <c r="CL5" s="46">
        <v>209</v>
      </c>
      <c r="CM5" s="46">
        <f t="shared" si="34"/>
        <v>465</v>
      </c>
      <c r="CN5" s="46">
        <v>0</v>
      </c>
      <c r="CO5" s="46">
        <v>0</v>
      </c>
      <c r="CP5" s="46">
        <f t="shared" si="35"/>
        <v>0</v>
      </c>
      <c r="CQ5" s="46">
        <v>0</v>
      </c>
      <c r="CR5" s="46">
        <v>0</v>
      </c>
      <c r="CS5" s="46">
        <f t="shared" si="36"/>
        <v>0</v>
      </c>
      <c r="CT5" s="46">
        <v>0</v>
      </c>
      <c r="CU5" s="46">
        <v>0</v>
      </c>
      <c r="CV5" s="46">
        <f t="shared" si="37"/>
        <v>0</v>
      </c>
      <c r="CW5" s="46">
        <f t="shared" si="38"/>
        <v>5095</v>
      </c>
      <c r="CX5" s="46">
        <f t="shared" si="38"/>
        <v>3167</v>
      </c>
      <c r="CY5" s="46">
        <f t="shared" si="39"/>
        <v>8262</v>
      </c>
      <c r="CZ5" s="28">
        <f t="shared" si="40"/>
        <v>1379</v>
      </c>
      <c r="DA5" s="28">
        <f t="shared" si="40"/>
        <v>964</v>
      </c>
      <c r="DB5" s="2">
        <f t="shared" si="41"/>
        <v>2343</v>
      </c>
      <c r="DC5" s="28">
        <f t="shared" si="42"/>
        <v>256</v>
      </c>
      <c r="DD5" s="28">
        <f t="shared" si="42"/>
        <v>209</v>
      </c>
      <c r="DE5" s="2">
        <f t="shared" si="43"/>
        <v>465</v>
      </c>
      <c r="DF5" s="46">
        <f t="shared" si="44"/>
        <v>61.09</v>
      </c>
      <c r="DG5" s="46">
        <f t="shared" si="45"/>
        <v>67.44</v>
      </c>
      <c r="DH5" s="46">
        <f t="shared" si="46"/>
        <v>63.38</v>
      </c>
      <c r="DI5" s="46">
        <f t="shared" si="47"/>
        <v>56.87</v>
      </c>
      <c r="DJ5" s="46">
        <f t="shared" si="48"/>
        <v>63.55</v>
      </c>
      <c r="DK5" s="46">
        <f t="shared" si="49"/>
        <v>59.44</v>
      </c>
      <c r="DL5" s="46">
        <f t="shared" si="50"/>
        <v>58.05</v>
      </c>
      <c r="DM5" s="46">
        <f t="shared" si="51"/>
        <v>62.2</v>
      </c>
      <c r="DN5" s="46">
        <f t="shared" si="52"/>
        <v>59.85</v>
      </c>
      <c r="DO5" s="46">
        <v>0</v>
      </c>
      <c r="DP5" s="46">
        <v>0</v>
      </c>
      <c r="DQ5" s="46">
        <f t="shared" si="53"/>
        <v>0</v>
      </c>
      <c r="DR5" s="46">
        <v>0</v>
      </c>
      <c r="DS5" s="46">
        <v>0</v>
      </c>
      <c r="DT5" s="46">
        <f t="shared" si="54"/>
        <v>0</v>
      </c>
      <c r="DU5" s="46">
        <v>0</v>
      </c>
      <c r="DV5" s="46">
        <v>0</v>
      </c>
      <c r="DW5" s="46">
        <f t="shared" si="55"/>
        <v>0</v>
      </c>
      <c r="DX5" s="46">
        <v>0</v>
      </c>
      <c r="DY5" s="46">
        <v>0</v>
      </c>
      <c r="DZ5" s="46">
        <f t="shared" si="56"/>
        <v>0</v>
      </c>
      <c r="EA5" s="46">
        <v>0</v>
      </c>
      <c r="EB5" s="46">
        <v>0</v>
      </c>
      <c r="EC5" s="46">
        <f t="shared" si="57"/>
        <v>0</v>
      </c>
      <c r="ED5" s="46">
        <v>0</v>
      </c>
      <c r="EE5" s="46">
        <v>0</v>
      </c>
      <c r="EF5" s="46">
        <f t="shared" si="58"/>
        <v>0</v>
      </c>
      <c r="EG5" s="46">
        <f t="shared" si="59"/>
        <v>-13036</v>
      </c>
      <c r="EH5" s="46">
        <f t="shared" si="60"/>
        <v>-8262</v>
      </c>
      <c r="EI5" s="46">
        <f t="shared" si="61"/>
        <v>-568515</v>
      </c>
      <c r="EJ5" s="46">
        <f t="shared" si="62"/>
        <v>-105144</v>
      </c>
      <c r="EK5" s="46">
        <f t="shared" si="63"/>
        <v>-25336</v>
      </c>
      <c r="EL5" s="3"/>
    </row>
    <row r="6" spans="1:142" s="34" customFormat="1" ht="30" x14ac:dyDescent="0.25">
      <c r="A6" s="51">
        <v>37</v>
      </c>
      <c r="B6" s="43" t="s">
        <v>120</v>
      </c>
      <c r="C6" s="48" t="s">
        <v>119</v>
      </c>
      <c r="D6" s="64">
        <v>42783</v>
      </c>
      <c r="E6" s="69" t="s">
        <v>118</v>
      </c>
      <c r="F6" s="64">
        <v>42943</v>
      </c>
      <c r="G6" s="64">
        <v>42947</v>
      </c>
      <c r="H6" s="46">
        <v>4067</v>
      </c>
      <c r="I6" s="46">
        <v>0</v>
      </c>
      <c r="J6" s="46">
        <v>2531</v>
      </c>
      <c r="K6" s="46">
        <f t="shared" si="0"/>
        <v>6598</v>
      </c>
      <c r="L6" s="46">
        <v>283943</v>
      </c>
      <c r="M6" s="46">
        <v>0</v>
      </c>
      <c r="N6" s="46">
        <v>98813</v>
      </c>
      <c r="O6" s="46">
        <f t="shared" si="1"/>
        <v>382756</v>
      </c>
      <c r="P6" s="46">
        <v>133688</v>
      </c>
      <c r="Q6" s="46">
        <v>0</v>
      </c>
      <c r="R6" s="46">
        <v>50255</v>
      </c>
      <c r="S6" s="46">
        <f t="shared" si="2"/>
        <v>183943</v>
      </c>
      <c r="T6" s="46">
        <f t="shared" si="3"/>
        <v>48.06</v>
      </c>
      <c r="U6" s="46">
        <v>214</v>
      </c>
      <c r="V6" s="46">
        <v>401</v>
      </c>
      <c r="W6" s="46">
        <v>429</v>
      </c>
      <c r="X6" s="46">
        <v>510</v>
      </c>
      <c r="Y6" s="46">
        <v>669</v>
      </c>
      <c r="Z6" s="46">
        <v>846</v>
      </c>
      <c r="AA6" s="46">
        <v>3565</v>
      </c>
      <c r="AB6" s="47">
        <f t="shared" si="4"/>
        <v>-36</v>
      </c>
      <c r="AC6" s="46">
        <v>188722</v>
      </c>
      <c r="AD6" s="46">
        <v>194034</v>
      </c>
      <c r="AE6" s="46">
        <f t="shared" si="5"/>
        <v>382756</v>
      </c>
      <c r="AF6" s="46">
        <v>17883</v>
      </c>
      <c r="AG6" s="46">
        <v>18381</v>
      </c>
      <c r="AH6" s="46">
        <f t="shared" si="6"/>
        <v>36264</v>
      </c>
      <c r="AI6" s="46">
        <v>37511</v>
      </c>
      <c r="AJ6" s="46">
        <v>37893</v>
      </c>
      <c r="AK6" s="46">
        <f t="shared" si="7"/>
        <v>75404</v>
      </c>
      <c r="AL6" s="46">
        <v>93470</v>
      </c>
      <c r="AM6" s="46">
        <v>90464</v>
      </c>
      <c r="AN6" s="46">
        <f t="shared" si="8"/>
        <v>183934</v>
      </c>
      <c r="AO6" s="46">
        <v>7656</v>
      </c>
      <c r="AP6" s="46">
        <v>7191</v>
      </c>
      <c r="AQ6" s="46">
        <f t="shared" si="9"/>
        <v>14847</v>
      </c>
      <c r="AR6" s="46">
        <v>15255</v>
      </c>
      <c r="AS6" s="46">
        <v>14072</v>
      </c>
      <c r="AT6" s="46">
        <f t="shared" si="10"/>
        <v>29327</v>
      </c>
      <c r="AU6" s="46">
        <v>17722</v>
      </c>
      <c r="AV6" s="46">
        <v>16531</v>
      </c>
      <c r="AW6" s="46">
        <f t="shared" si="11"/>
        <v>34253</v>
      </c>
      <c r="AX6" s="46">
        <v>1889</v>
      </c>
      <c r="AY6" s="46">
        <v>1770</v>
      </c>
      <c r="AZ6" s="46">
        <f t="shared" si="12"/>
        <v>3659</v>
      </c>
      <c r="BA6" s="46">
        <v>4510</v>
      </c>
      <c r="BB6" s="46">
        <v>3957</v>
      </c>
      <c r="BC6" s="46">
        <f t="shared" si="13"/>
        <v>8467</v>
      </c>
      <c r="BD6" s="46">
        <f t="shared" si="14"/>
        <v>111192</v>
      </c>
      <c r="BE6" s="46">
        <f t="shared" si="14"/>
        <v>106995</v>
      </c>
      <c r="BF6" s="46">
        <f t="shared" si="15"/>
        <v>218187</v>
      </c>
      <c r="BG6" s="46">
        <f t="shared" si="16"/>
        <v>9545</v>
      </c>
      <c r="BH6" s="46">
        <f t="shared" si="16"/>
        <v>8961</v>
      </c>
      <c r="BI6" s="46">
        <f t="shared" si="17"/>
        <v>18506</v>
      </c>
      <c r="BJ6" s="46">
        <f t="shared" si="18"/>
        <v>19765</v>
      </c>
      <c r="BK6" s="46">
        <f t="shared" si="18"/>
        <v>18029</v>
      </c>
      <c r="BL6" s="46">
        <f t="shared" si="19"/>
        <v>37794</v>
      </c>
      <c r="BM6" s="46">
        <f t="shared" si="20"/>
        <v>58.92</v>
      </c>
      <c r="BN6" s="46">
        <f t="shared" si="21"/>
        <v>55.14</v>
      </c>
      <c r="BO6" s="46">
        <f t="shared" si="22"/>
        <v>57</v>
      </c>
      <c r="BP6" s="46">
        <f t="shared" si="23"/>
        <v>53.37</v>
      </c>
      <c r="BQ6" s="46">
        <f t="shared" si="24"/>
        <v>48.75</v>
      </c>
      <c r="BR6" s="46">
        <f t="shared" si="25"/>
        <v>51.03</v>
      </c>
      <c r="BS6" s="46">
        <f t="shared" si="26"/>
        <v>52.69</v>
      </c>
      <c r="BT6" s="46">
        <f t="shared" si="27"/>
        <v>47.58</v>
      </c>
      <c r="BU6" s="46">
        <f t="shared" si="28"/>
        <v>50.12</v>
      </c>
      <c r="BV6" s="46">
        <v>0</v>
      </c>
      <c r="BW6" s="46">
        <v>0</v>
      </c>
      <c r="BX6" s="46">
        <f t="shared" si="29"/>
        <v>0</v>
      </c>
      <c r="BY6" s="46">
        <v>0</v>
      </c>
      <c r="BZ6" s="46">
        <v>0</v>
      </c>
      <c r="CA6" s="46">
        <f t="shared" si="30"/>
        <v>0</v>
      </c>
      <c r="CB6" s="46">
        <v>0</v>
      </c>
      <c r="CC6" s="46">
        <v>0</v>
      </c>
      <c r="CD6" s="46">
        <f t="shared" si="31"/>
        <v>0</v>
      </c>
      <c r="CE6" s="46">
        <v>0</v>
      </c>
      <c r="CF6" s="46">
        <v>0</v>
      </c>
      <c r="CG6" s="46">
        <f t="shared" si="32"/>
        <v>0</v>
      </c>
      <c r="CH6" s="46">
        <v>0</v>
      </c>
      <c r="CI6" s="46">
        <v>0</v>
      </c>
      <c r="CJ6" s="46">
        <f t="shared" si="33"/>
        <v>0</v>
      </c>
      <c r="CK6" s="46">
        <v>0</v>
      </c>
      <c r="CL6" s="46">
        <v>0</v>
      </c>
      <c r="CM6" s="46">
        <f t="shared" si="34"/>
        <v>0</v>
      </c>
      <c r="CN6" s="46">
        <v>0</v>
      </c>
      <c r="CO6" s="46">
        <v>0</v>
      </c>
      <c r="CP6" s="46">
        <f t="shared" si="35"/>
        <v>0</v>
      </c>
      <c r="CQ6" s="46">
        <v>0</v>
      </c>
      <c r="CR6" s="46">
        <v>0</v>
      </c>
      <c r="CS6" s="46">
        <f t="shared" si="36"/>
        <v>0</v>
      </c>
      <c r="CT6" s="46">
        <v>0</v>
      </c>
      <c r="CU6" s="46">
        <v>0</v>
      </c>
      <c r="CV6" s="46">
        <f t="shared" si="37"/>
        <v>0</v>
      </c>
      <c r="CW6" s="46">
        <f t="shared" si="38"/>
        <v>0</v>
      </c>
      <c r="CX6" s="46">
        <f t="shared" si="38"/>
        <v>0</v>
      </c>
      <c r="CY6" s="46">
        <f t="shared" si="39"/>
        <v>0</v>
      </c>
      <c r="CZ6" s="46">
        <f t="shared" si="40"/>
        <v>0</v>
      </c>
      <c r="DA6" s="46">
        <f t="shared" si="40"/>
        <v>0</v>
      </c>
      <c r="DB6" s="46">
        <f t="shared" si="41"/>
        <v>0</v>
      </c>
      <c r="DC6" s="46">
        <f t="shared" si="42"/>
        <v>0</v>
      </c>
      <c r="DD6" s="46">
        <f t="shared" si="42"/>
        <v>0</v>
      </c>
      <c r="DE6" s="46">
        <f t="shared" si="43"/>
        <v>0</v>
      </c>
      <c r="DF6" s="46" t="e">
        <f t="shared" si="44"/>
        <v>#DIV/0!</v>
      </c>
      <c r="DG6" s="46" t="e">
        <f t="shared" si="45"/>
        <v>#DIV/0!</v>
      </c>
      <c r="DH6" s="46" t="e">
        <f t="shared" si="46"/>
        <v>#DIV/0!</v>
      </c>
      <c r="DI6" s="46" t="e">
        <f t="shared" si="47"/>
        <v>#DIV/0!</v>
      </c>
      <c r="DJ6" s="46" t="e">
        <f t="shared" si="48"/>
        <v>#DIV/0!</v>
      </c>
      <c r="DK6" s="46" t="e">
        <f t="shared" si="49"/>
        <v>#DIV/0!</v>
      </c>
      <c r="DL6" s="46" t="e">
        <f t="shared" si="50"/>
        <v>#DIV/0!</v>
      </c>
      <c r="DM6" s="46" t="e">
        <f t="shared" si="51"/>
        <v>#DIV/0!</v>
      </c>
      <c r="DN6" s="46" t="e">
        <f t="shared" si="52"/>
        <v>#DIV/0!</v>
      </c>
      <c r="DO6" s="46">
        <v>25995</v>
      </c>
      <c r="DP6" s="46">
        <v>30514</v>
      </c>
      <c r="DQ6" s="46">
        <f t="shared" si="53"/>
        <v>56509</v>
      </c>
      <c r="DR6" s="46">
        <v>1922</v>
      </c>
      <c r="DS6" s="46">
        <v>1726</v>
      </c>
      <c r="DT6" s="46">
        <f t="shared" si="54"/>
        <v>3648</v>
      </c>
      <c r="DU6" s="46">
        <v>3797</v>
      </c>
      <c r="DV6" s="46">
        <v>3250</v>
      </c>
      <c r="DW6" s="46">
        <f t="shared" si="55"/>
        <v>7047</v>
      </c>
      <c r="DX6" s="46">
        <v>74372</v>
      </c>
      <c r="DY6" s="46">
        <v>87306</v>
      </c>
      <c r="DZ6" s="46">
        <f t="shared" si="56"/>
        <v>161678</v>
      </c>
      <c r="EA6" s="46">
        <v>7624</v>
      </c>
      <c r="EB6" s="46">
        <v>7235</v>
      </c>
      <c r="EC6" s="46">
        <f t="shared" si="57"/>
        <v>14859</v>
      </c>
      <c r="ED6" s="46">
        <v>15968</v>
      </c>
      <c r="EE6" s="46">
        <v>14779</v>
      </c>
      <c r="EF6" s="46">
        <f t="shared" si="58"/>
        <v>30747</v>
      </c>
      <c r="EG6" s="46">
        <f t="shared" si="59"/>
        <v>0</v>
      </c>
      <c r="EH6" s="46">
        <f t="shared" si="60"/>
        <v>-34244</v>
      </c>
      <c r="EI6" s="46">
        <f t="shared" si="61"/>
        <v>0</v>
      </c>
      <c r="EJ6" s="46">
        <f t="shared" si="62"/>
        <v>1</v>
      </c>
      <c r="EK6" s="46">
        <f t="shared" si="63"/>
        <v>0</v>
      </c>
      <c r="EL6" s="3"/>
    </row>
    <row r="7" spans="1:142" s="34" customFormat="1" x14ac:dyDescent="0.25">
      <c r="A7" s="51"/>
      <c r="B7" s="43" t="s">
        <v>86</v>
      </c>
      <c r="C7" s="48" t="s">
        <v>87</v>
      </c>
      <c r="D7" s="64">
        <v>42803</v>
      </c>
      <c r="E7" s="64">
        <v>42835</v>
      </c>
      <c r="F7" s="64">
        <v>42933</v>
      </c>
      <c r="G7" s="64">
        <v>42940</v>
      </c>
      <c r="H7" s="46">
        <v>1821</v>
      </c>
      <c r="I7" s="46">
        <v>228</v>
      </c>
      <c r="J7" s="46">
        <v>12617</v>
      </c>
      <c r="K7" s="2">
        <f t="shared" si="0"/>
        <v>14666</v>
      </c>
      <c r="L7" s="46">
        <v>274381</v>
      </c>
      <c r="M7" s="46">
        <v>18915</v>
      </c>
      <c r="N7" s="46">
        <v>1222290</v>
      </c>
      <c r="O7" s="2">
        <f t="shared" si="1"/>
        <v>1515586</v>
      </c>
      <c r="P7" s="46">
        <v>207681</v>
      </c>
      <c r="Q7" s="46">
        <v>18112</v>
      </c>
      <c r="R7" s="46">
        <v>1211350</v>
      </c>
      <c r="S7" s="2">
        <f t="shared" si="2"/>
        <v>1437143</v>
      </c>
      <c r="T7" s="15">
        <f t="shared" si="3"/>
        <v>94.82</v>
      </c>
      <c r="U7" s="46">
        <v>11413</v>
      </c>
      <c r="V7" s="46">
        <v>3498</v>
      </c>
      <c r="W7" s="46">
        <v>790</v>
      </c>
      <c r="X7" s="46">
        <v>304</v>
      </c>
      <c r="Y7" s="46">
        <v>131</v>
      </c>
      <c r="Z7" s="46">
        <v>67</v>
      </c>
      <c r="AA7" s="46">
        <v>145</v>
      </c>
      <c r="AB7" s="47">
        <f t="shared" si="4"/>
        <v>-1682</v>
      </c>
      <c r="AC7" s="46">
        <v>979745</v>
      </c>
      <c r="AD7" s="46">
        <v>671844</v>
      </c>
      <c r="AE7" s="46">
        <f t="shared" si="5"/>
        <v>1651589</v>
      </c>
      <c r="AF7" s="46">
        <v>78213</v>
      </c>
      <c r="AG7" s="46">
        <v>57214</v>
      </c>
      <c r="AH7" s="46">
        <f t="shared" si="6"/>
        <v>135427</v>
      </c>
      <c r="AI7" s="46">
        <v>31927</v>
      </c>
      <c r="AJ7" s="46">
        <v>26341</v>
      </c>
      <c r="AK7" s="2">
        <f t="shared" si="7"/>
        <v>58268</v>
      </c>
      <c r="AL7" s="46">
        <v>919505</v>
      </c>
      <c r="AM7" s="46">
        <v>624862</v>
      </c>
      <c r="AN7" s="46">
        <f t="shared" si="8"/>
        <v>1544367</v>
      </c>
      <c r="AO7" s="46">
        <v>68926</v>
      </c>
      <c r="AP7" s="46">
        <v>49190</v>
      </c>
      <c r="AQ7" s="46">
        <f t="shared" si="9"/>
        <v>118116</v>
      </c>
      <c r="AR7" s="46">
        <v>28422</v>
      </c>
      <c r="AS7" s="46">
        <v>23057</v>
      </c>
      <c r="AT7" s="46">
        <f t="shared" si="10"/>
        <v>51479</v>
      </c>
      <c r="AU7" s="46">
        <v>16903</v>
      </c>
      <c r="AV7" s="46">
        <v>11943</v>
      </c>
      <c r="AW7" s="46">
        <f t="shared" si="11"/>
        <v>28846</v>
      </c>
      <c r="AX7" s="46">
        <v>1670</v>
      </c>
      <c r="AY7" s="46">
        <v>1592</v>
      </c>
      <c r="AZ7" s="2">
        <f t="shared" si="12"/>
        <v>3262</v>
      </c>
      <c r="BA7" s="46">
        <v>1714</v>
      </c>
      <c r="BB7" s="46">
        <v>1738</v>
      </c>
      <c r="BC7" s="46">
        <f t="shared" si="13"/>
        <v>3452</v>
      </c>
      <c r="BD7" s="46">
        <f t="shared" si="14"/>
        <v>936408</v>
      </c>
      <c r="BE7" s="46">
        <f t="shared" si="14"/>
        <v>636805</v>
      </c>
      <c r="BF7" s="46">
        <f t="shared" si="15"/>
        <v>1573213</v>
      </c>
      <c r="BG7" s="46">
        <f t="shared" si="16"/>
        <v>70596</v>
      </c>
      <c r="BH7" s="46">
        <f t="shared" si="16"/>
        <v>50782</v>
      </c>
      <c r="BI7" s="46">
        <f t="shared" si="17"/>
        <v>121378</v>
      </c>
      <c r="BJ7" s="46">
        <f t="shared" si="18"/>
        <v>30136</v>
      </c>
      <c r="BK7" s="46">
        <f t="shared" si="18"/>
        <v>24795</v>
      </c>
      <c r="BL7" s="46">
        <f t="shared" si="19"/>
        <v>54931</v>
      </c>
      <c r="BM7" s="46">
        <f t="shared" si="20"/>
        <v>95.58</v>
      </c>
      <c r="BN7" s="46">
        <f t="shared" si="21"/>
        <v>94.78</v>
      </c>
      <c r="BO7" s="46">
        <f t="shared" si="22"/>
        <v>95.25</v>
      </c>
      <c r="BP7" s="46">
        <f t="shared" si="23"/>
        <v>90.26</v>
      </c>
      <c r="BQ7" s="46">
        <f t="shared" si="24"/>
        <v>88.76</v>
      </c>
      <c r="BR7" s="46">
        <f t="shared" si="25"/>
        <v>89.63</v>
      </c>
      <c r="BS7" s="46">
        <f t="shared" si="26"/>
        <v>94.39</v>
      </c>
      <c r="BT7" s="46">
        <f t="shared" si="27"/>
        <v>94.13</v>
      </c>
      <c r="BU7" s="46">
        <f t="shared" si="28"/>
        <v>94.27</v>
      </c>
      <c r="BV7" s="46">
        <v>0</v>
      </c>
      <c r="BW7" s="46">
        <v>0</v>
      </c>
      <c r="BX7" s="46">
        <f t="shared" si="29"/>
        <v>0</v>
      </c>
      <c r="BY7" s="46">
        <v>0</v>
      </c>
      <c r="BZ7" s="46">
        <v>0</v>
      </c>
      <c r="CA7" s="2">
        <f t="shared" si="30"/>
        <v>0</v>
      </c>
      <c r="CB7" s="46">
        <v>0</v>
      </c>
      <c r="CC7" s="46">
        <v>0</v>
      </c>
      <c r="CD7" s="2">
        <f t="shared" si="31"/>
        <v>0</v>
      </c>
      <c r="CE7" s="46">
        <v>0</v>
      </c>
      <c r="CF7" s="46">
        <v>0</v>
      </c>
      <c r="CG7" s="46">
        <f t="shared" si="32"/>
        <v>0</v>
      </c>
      <c r="CH7" s="46">
        <v>0</v>
      </c>
      <c r="CI7" s="46">
        <v>0</v>
      </c>
      <c r="CJ7" s="2">
        <f t="shared" si="33"/>
        <v>0</v>
      </c>
      <c r="CK7" s="46">
        <v>0</v>
      </c>
      <c r="CL7" s="46">
        <v>0</v>
      </c>
      <c r="CM7" s="2">
        <f t="shared" si="34"/>
        <v>0</v>
      </c>
      <c r="CN7" s="46">
        <v>0</v>
      </c>
      <c r="CO7" s="46">
        <v>0</v>
      </c>
      <c r="CP7" s="2">
        <f t="shared" si="35"/>
        <v>0</v>
      </c>
      <c r="CQ7" s="46">
        <v>0</v>
      </c>
      <c r="CR7" s="46">
        <v>0</v>
      </c>
      <c r="CS7" s="2">
        <f t="shared" si="36"/>
        <v>0</v>
      </c>
      <c r="CT7" s="46">
        <v>0</v>
      </c>
      <c r="CU7" s="46">
        <v>0</v>
      </c>
      <c r="CV7" s="2">
        <f t="shared" si="37"/>
        <v>0</v>
      </c>
      <c r="CW7" s="46">
        <f t="shared" si="38"/>
        <v>0</v>
      </c>
      <c r="CX7" s="46">
        <f t="shared" si="38"/>
        <v>0</v>
      </c>
      <c r="CY7" s="46">
        <f t="shared" si="39"/>
        <v>0</v>
      </c>
      <c r="CZ7" s="28">
        <f t="shared" si="40"/>
        <v>0</v>
      </c>
      <c r="DA7" s="28">
        <f t="shared" si="40"/>
        <v>0</v>
      </c>
      <c r="DB7" s="2">
        <f t="shared" si="41"/>
        <v>0</v>
      </c>
      <c r="DC7" s="28">
        <f t="shared" si="42"/>
        <v>0</v>
      </c>
      <c r="DD7" s="28">
        <f t="shared" si="42"/>
        <v>0</v>
      </c>
      <c r="DE7" s="2">
        <f t="shared" si="43"/>
        <v>0</v>
      </c>
      <c r="DF7" s="46" t="e">
        <f t="shared" si="44"/>
        <v>#DIV/0!</v>
      </c>
      <c r="DG7" s="46" t="e">
        <f t="shared" si="45"/>
        <v>#DIV/0!</v>
      </c>
      <c r="DH7" s="46" t="e">
        <f t="shared" si="46"/>
        <v>#DIV/0!</v>
      </c>
      <c r="DI7" s="28" t="e">
        <f t="shared" si="47"/>
        <v>#DIV/0!</v>
      </c>
      <c r="DJ7" s="28" t="e">
        <f t="shared" si="48"/>
        <v>#DIV/0!</v>
      </c>
      <c r="DK7" s="28" t="e">
        <f t="shared" si="49"/>
        <v>#DIV/0!</v>
      </c>
      <c r="DL7" s="28" t="e">
        <f t="shared" si="50"/>
        <v>#DIV/0!</v>
      </c>
      <c r="DM7" s="28" t="e">
        <f t="shared" si="51"/>
        <v>#DIV/0!</v>
      </c>
      <c r="DN7" s="28" t="e">
        <f t="shared" si="52"/>
        <v>#DIV/0!</v>
      </c>
      <c r="DO7" s="46">
        <v>0</v>
      </c>
      <c r="DP7" s="46">
        <v>0</v>
      </c>
      <c r="DQ7" s="46">
        <f t="shared" si="53"/>
        <v>0</v>
      </c>
      <c r="DR7" s="46">
        <v>0</v>
      </c>
      <c r="DS7" s="46">
        <v>0</v>
      </c>
      <c r="DT7" s="46">
        <f t="shared" si="54"/>
        <v>0</v>
      </c>
      <c r="DU7" s="46">
        <v>0</v>
      </c>
      <c r="DV7" s="46">
        <v>0</v>
      </c>
      <c r="DW7" s="46">
        <f t="shared" si="55"/>
        <v>0</v>
      </c>
      <c r="DX7" s="46">
        <v>0</v>
      </c>
      <c r="DY7" s="46">
        <v>0</v>
      </c>
      <c r="DZ7" s="2">
        <f t="shared" si="56"/>
        <v>0</v>
      </c>
      <c r="EA7" s="46">
        <v>0</v>
      </c>
      <c r="EB7" s="46">
        <v>0</v>
      </c>
      <c r="EC7" s="2">
        <f t="shared" si="57"/>
        <v>0</v>
      </c>
      <c r="ED7" s="46">
        <v>0</v>
      </c>
      <c r="EE7" s="46">
        <v>0</v>
      </c>
      <c r="EF7" s="2">
        <f t="shared" si="58"/>
        <v>0</v>
      </c>
      <c r="EG7" s="46">
        <f t="shared" si="59"/>
        <v>-136003</v>
      </c>
      <c r="EH7" s="46">
        <f t="shared" si="60"/>
        <v>-136070</v>
      </c>
      <c r="EI7" s="46">
        <f t="shared" si="61"/>
        <v>-1573213</v>
      </c>
      <c r="EJ7" s="46">
        <f t="shared" si="62"/>
        <v>-121378</v>
      </c>
      <c r="EK7" s="46">
        <f t="shared" si="63"/>
        <v>-54931</v>
      </c>
      <c r="EL7" s="3"/>
    </row>
    <row r="8" spans="1:142" s="34" customFormat="1" ht="28.5" x14ac:dyDescent="0.25">
      <c r="A8" s="76">
        <v>3</v>
      </c>
      <c r="B8" s="27" t="s">
        <v>52</v>
      </c>
      <c r="C8" s="27" t="s">
        <v>53</v>
      </c>
      <c r="D8" s="63">
        <v>42838</v>
      </c>
      <c r="E8" s="63">
        <v>42856</v>
      </c>
      <c r="F8" s="62" t="s">
        <v>101</v>
      </c>
      <c r="G8" s="62" t="s">
        <v>101</v>
      </c>
      <c r="H8" s="6">
        <v>0</v>
      </c>
      <c r="I8" s="6">
        <v>0</v>
      </c>
      <c r="J8" s="6">
        <v>0</v>
      </c>
      <c r="K8" s="2">
        <f t="shared" si="0"/>
        <v>0</v>
      </c>
      <c r="L8" s="6">
        <v>0</v>
      </c>
      <c r="M8" s="6">
        <v>0</v>
      </c>
      <c r="N8" s="6">
        <v>0</v>
      </c>
      <c r="O8" s="2">
        <f t="shared" si="1"/>
        <v>0</v>
      </c>
      <c r="P8" s="6">
        <v>0</v>
      </c>
      <c r="Q8" s="6">
        <v>0</v>
      </c>
      <c r="R8" s="6">
        <v>0</v>
      </c>
      <c r="S8" s="2">
        <f t="shared" si="2"/>
        <v>0</v>
      </c>
      <c r="T8" s="15" t="e">
        <f t="shared" si="3"/>
        <v>#DIV/0!</v>
      </c>
      <c r="U8" s="6"/>
      <c r="V8" s="6"/>
      <c r="W8" s="6"/>
      <c r="X8" s="6"/>
      <c r="Y8" s="6"/>
      <c r="Z8" s="6"/>
      <c r="AA8" s="6"/>
      <c r="AB8" s="29">
        <f t="shared" si="4"/>
        <v>0</v>
      </c>
      <c r="AC8" s="30">
        <v>22</v>
      </c>
      <c r="AD8" s="30">
        <v>232</v>
      </c>
      <c r="AE8" s="2">
        <f t="shared" si="5"/>
        <v>254</v>
      </c>
      <c r="AF8" s="31">
        <v>1</v>
      </c>
      <c r="AG8" s="31">
        <v>4</v>
      </c>
      <c r="AH8" s="2">
        <f t="shared" si="6"/>
        <v>5</v>
      </c>
      <c r="AI8" s="31">
        <v>0</v>
      </c>
      <c r="AJ8" s="31">
        <v>9</v>
      </c>
      <c r="AK8" s="2">
        <f t="shared" si="7"/>
        <v>9</v>
      </c>
      <c r="AL8" s="30">
        <v>22</v>
      </c>
      <c r="AM8" s="30">
        <v>230</v>
      </c>
      <c r="AN8" s="2">
        <f t="shared" si="8"/>
        <v>252</v>
      </c>
      <c r="AO8" s="31">
        <v>1</v>
      </c>
      <c r="AP8" s="31">
        <v>4</v>
      </c>
      <c r="AQ8" s="2">
        <f t="shared" si="9"/>
        <v>5</v>
      </c>
      <c r="AR8" s="31">
        <v>0</v>
      </c>
      <c r="AS8" s="31">
        <v>9</v>
      </c>
      <c r="AT8" s="2">
        <f t="shared" si="10"/>
        <v>9</v>
      </c>
      <c r="AU8" s="31">
        <v>0</v>
      </c>
      <c r="AV8" s="31">
        <v>0</v>
      </c>
      <c r="AW8" s="2">
        <f t="shared" si="11"/>
        <v>0</v>
      </c>
      <c r="AX8" s="31">
        <v>0</v>
      </c>
      <c r="AY8" s="31">
        <v>0</v>
      </c>
      <c r="AZ8" s="2">
        <f t="shared" si="12"/>
        <v>0</v>
      </c>
      <c r="BA8" s="31">
        <v>0</v>
      </c>
      <c r="BB8" s="31">
        <v>0</v>
      </c>
      <c r="BC8" s="2">
        <f t="shared" si="13"/>
        <v>0</v>
      </c>
      <c r="BD8" s="28">
        <f t="shared" si="14"/>
        <v>22</v>
      </c>
      <c r="BE8" s="28">
        <f t="shared" si="14"/>
        <v>230</v>
      </c>
      <c r="BF8" s="2">
        <f t="shared" si="15"/>
        <v>252</v>
      </c>
      <c r="BG8" s="28">
        <f t="shared" si="16"/>
        <v>1</v>
      </c>
      <c r="BH8" s="28">
        <f t="shared" si="16"/>
        <v>4</v>
      </c>
      <c r="BI8" s="2">
        <f t="shared" si="17"/>
        <v>5</v>
      </c>
      <c r="BJ8" s="28">
        <f t="shared" si="18"/>
        <v>0</v>
      </c>
      <c r="BK8" s="28">
        <f t="shared" si="18"/>
        <v>9</v>
      </c>
      <c r="BL8" s="2">
        <f t="shared" si="19"/>
        <v>9</v>
      </c>
      <c r="BM8" s="28">
        <f t="shared" si="20"/>
        <v>100</v>
      </c>
      <c r="BN8" s="28">
        <f t="shared" si="21"/>
        <v>99.14</v>
      </c>
      <c r="BO8" s="28">
        <f t="shared" si="22"/>
        <v>99.21</v>
      </c>
      <c r="BP8" s="28">
        <f t="shared" si="23"/>
        <v>100</v>
      </c>
      <c r="BQ8" s="28">
        <f t="shared" si="24"/>
        <v>100</v>
      </c>
      <c r="BR8" s="28">
        <f t="shared" si="25"/>
        <v>100</v>
      </c>
      <c r="BS8" s="28" t="e">
        <f t="shared" si="26"/>
        <v>#DIV/0!</v>
      </c>
      <c r="BT8" s="28">
        <f t="shared" si="27"/>
        <v>100</v>
      </c>
      <c r="BU8" s="28">
        <f t="shared" si="28"/>
        <v>100</v>
      </c>
      <c r="BV8" s="30"/>
      <c r="BW8" s="30"/>
      <c r="BX8" s="2">
        <f t="shared" si="29"/>
        <v>0</v>
      </c>
      <c r="BY8" s="31">
        <v>0</v>
      </c>
      <c r="BZ8" s="31">
        <v>0</v>
      </c>
      <c r="CA8" s="2">
        <f t="shared" si="30"/>
        <v>0</v>
      </c>
      <c r="CB8" s="31">
        <v>0</v>
      </c>
      <c r="CC8" s="31">
        <v>0</v>
      </c>
      <c r="CD8" s="2">
        <f t="shared" si="31"/>
        <v>0</v>
      </c>
      <c r="CE8" s="30">
        <v>0</v>
      </c>
      <c r="CF8" s="30">
        <v>0</v>
      </c>
      <c r="CG8" s="2">
        <f t="shared" si="32"/>
        <v>0</v>
      </c>
      <c r="CH8" s="31">
        <v>0</v>
      </c>
      <c r="CI8" s="31">
        <v>0</v>
      </c>
      <c r="CJ8" s="2">
        <f t="shared" si="33"/>
        <v>0</v>
      </c>
      <c r="CK8" s="31">
        <v>0</v>
      </c>
      <c r="CL8" s="31">
        <v>0</v>
      </c>
      <c r="CM8" s="2">
        <f t="shared" si="34"/>
        <v>0</v>
      </c>
      <c r="CN8" s="31">
        <v>0</v>
      </c>
      <c r="CO8" s="31">
        <v>0</v>
      </c>
      <c r="CP8" s="2">
        <f t="shared" si="35"/>
        <v>0</v>
      </c>
      <c r="CQ8" s="33">
        <v>0</v>
      </c>
      <c r="CR8" s="33">
        <v>0</v>
      </c>
      <c r="CS8" s="2">
        <f t="shared" si="36"/>
        <v>0</v>
      </c>
      <c r="CT8" s="33">
        <v>0</v>
      </c>
      <c r="CU8" s="33">
        <v>0</v>
      </c>
      <c r="CV8" s="2">
        <f t="shared" si="37"/>
        <v>0</v>
      </c>
      <c r="CW8" s="28">
        <f t="shared" si="38"/>
        <v>0</v>
      </c>
      <c r="CX8" s="28">
        <f t="shared" si="38"/>
        <v>0</v>
      </c>
      <c r="CY8" s="2">
        <f t="shared" si="39"/>
        <v>0</v>
      </c>
      <c r="CZ8" s="28">
        <f t="shared" si="40"/>
        <v>0</v>
      </c>
      <c r="DA8" s="28">
        <f t="shared" si="40"/>
        <v>0</v>
      </c>
      <c r="DB8" s="2">
        <f t="shared" si="41"/>
        <v>0</v>
      </c>
      <c r="DC8" s="28">
        <f t="shared" si="42"/>
        <v>0</v>
      </c>
      <c r="DD8" s="28">
        <f t="shared" si="42"/>
        <v>0</v>
      </c>
      <c r="DE8" s="2">
        <f t="shared" si="43"/>
        <v>0</v>
      </c>
      <c r="DF8" s="28" t="e">
        <f t="shared" si="44"/>
        <v>#DIV/0!</v>
      </c>
      <c r="DG8" s="28" t="e">
        <f t="shared" si="45"/>
        <v>#DIV/0!</v>
      </c>
      <c r="DH8" s="28" t="e">
        <f t="shared" si="46"/>
        <v>#DIV/0!</v>
      </c>
      <c r="DI8" s="28" t="e">
        <f t="shared" si="47"/>
        <v>#DIV/0!</v>
      </c>
      <c r="DJ8" s="28" t="e">
        <f t="shared" si="48"/>
        <v>#DIV/0!</v>
      </c>
      <c r="DK8" s="28" t="e">
        <f t="shared" si="49"/>
        <v>#DIV/0!</v>
      </c>
      <c r="DL8" s="28" t="e">
        <f t="shared" si="50"/>
        <v>#DIV/0!</v>
      </c>
      <c r="DM8" s="28" t="e">
        <f t="shared" si="51"/>
        <v>#DIV/0!</v>
      </c>
      <c r="DN8" s="28" t="e">
        <f t="shared" si="52"/>
        <v>#DIV/0!</v>
      </c>
      <c r="DO8" s="32">
        <v>16</v>
      </c>
      <c r="DP8" s="32">
        <v>189</v>
      </c>
      <c r="DQ8" s="2">
        <f t="shared" si="53"/>
        <v>205</v>
      </c>
      <c r="DR8" s="32">
        <v>1</v>
      </c>
      <c r="DS8" s="32">
        <v>3</v>
      </c>
      <c r="DT8" s="2">
        <f t="shared" si="54"/>
        <v>4</v>
      </c>
      <c r="DU8" s="32">
        <v>0</v>
      </c>
      <c r="DV8" s="32">
        <v>3</v>
      </c>
      <c r="DW8" s="2">
        <f t="shared" si="55"/>
        <v>3</v>
      </c>
      <c r="DX8" s="32">
        <v>6</v>
      </c>
      <c r="DY8" s="32">
        <v>41</v>
      </c>
      <c r="DZ8" s="2">
        <f t="shared" si="56"/>
        <v>47</v>
      </c>
      <c r="EA8" s="32">
        <v>0</v>
      </c>
      <c r="EB8" s="32">
        <v>1</v>
      </c>
      <c r="EC8" s="2">
        <f t="shared" si="57"/>
        <v>1</v>
      </c>
      <c r="ED8" s="32">
        <v>0</v>
      </c>
      <c r="EE8" s="32">
        <v>6</v>
      </c>
      <c r="EF8" s="2">
        <f t="shared" si="58"/>
        <v>6</v>
      </c>
      <c r="EG8" s="4">
        <f t="shared" si="59"/>
        <v>-254</v>
      </c>
      <c r="EH8" s="4">
        <f t="shared" si="60"/>
        <v>-252</v>
      </c>
      <c r="EI8" s="4">
        <f t="shared" si="61"/>
        <v>0</v>
      </c>
      <c r="EJ8" s="4">
        <f t="shared" si="62"/>
        <v>0</v>
      </c>
      <c r="EK8" s="4">
        <f t="shared" si="63"/>
        <v>0</v>
      </c>
    </row>
    <row r="9" spans="1:142" s="34" customFormat="1" ht="30" x14ac:dyDescent="0.25">
      <c r="A9" s="51">
        <v>41</v>
      </c>
      <c r="B9" s="48" t="s">
        <v>126</v>
      </c>
      <c r="C9" s="46" t="s">
        <v>127</v>
      </c>
      <c r="D9" s="64">
        <v>42814</v>
      </c>
      <c r="E9" s="64">
        <v>42824</v>
      </c>
      <c r="F9" s="64">
        <v>42944</v>
      </c>
      <c r="G9" s="64">
        <v>42952</v>
      </c>
      <c r="H9" s="46"/>
      <c r="I9" s="46"/>
      <c r="J9" s="46"/>
      <c r="K9" s="46">
        <f t="shared" si="0"/>
        <v>0</v>
      </c>
      <c r="L9" s="46"/>
      <c r="M9" s="46">
        <v>162</v>
      </c>
      <c r="N9" s="46">
        <v>80</v>
      </c>
      <c r="O9" s="46">
        <f t="shared" si="1"/>
        <v>242</v>
      </c>
      <c r="P9" s="46"/>
      <c r="Q9" s="46">
        <v>159</v>
      </c>
      <c r="R9" s="46">
        <v>77</v>
      </c>
      <c r="S9" s="46">
        <f t="shared" si="2"/>
        <v>236</v>
      </c>
      <c r="T9" s="46">
        <f t="shared" si="3"/>
        <v>97.52</v>
      </c>
      <c r="U9" s="46">
        <v>5059</v>
      </c>
      <c r="V9" s="46">
        <v>4841</v>
      </c>
      <c r="W9" s="46">
        <v>1506</v>
      </c>
      <c r="X9" s="46">
        <v>489</v>
      </c>
      <c r="Y9" s="46">
        <v>182</v>
      </c>
      <c r="Z9" s="46">
        <v>69</v>
      </c>
      <c r="AA9" s="46">
        <v>42</v>
      </c>
      <c r="AB9" s="47">
        <f t="shared" si="4"/>
        <v>-12188</v>
      </c>
      <c r="AC9" s="46">
        <v>125</v>
      </c>
      <c r="AD9" s="46">
        <v>117</v>
      </c>
      <c r="AE9" s="46">
        <f t="shared" si="5"/>
        <v>242</v>
      </c>
      <c r="AF9" s="46">
        <v>20</v>
      </c>
      <c r="AG9" s="46">
        <v>20</v>
      </c>
      <c r="AH9" s="46">
        <f t="shared" si="6"/>
        <v>40</v>
      </c>
      <c r="AI9" s="46">
        <v>13</v>
      </c>
      <c r="AJ9" s="46">
        <v>20</v>
      </c>
      <c r="AK9" s="46">
        <f t="shared" si="7"/>
        <v>33</v>
      </c>
      <c r="AL9" s="46">
        <v>120</v>
      </c>
      <c r="AM9" s="46">
        <v>110</v>
      </c>
      <c r="AN9" s="46">
        <f t="shared" si="8"/>
        <v>230</v>
      </c>
      <c r="AO9" s="46">
        <v>19</v>
      </c>
      <c r="AP9" s="46">
        <v>17</v>
      </c>
      <c r="AQ9" s="46">
        <f t="shared" si="9"/>
        <v>36</v>
      </c>
      <c r="AR9" s="46">
        <v>12</v>
      </c>
      <c r="AS9" s="46">
        <v>19</v>
      </c>
      <c r="AT9" s="46">
        <f t="shared" si="10"/>
        <v>31</v>
      </c>
      <c r="AU9" s="46">
        <v>2</v>
      </c>
      <c r="AV9" s="46">
        <v>4</v>
      </c>
      <c r="AW9" s="46">
        <f t="shared" si="11"/>
        <v>6</v>
      </c>
      <c r="AX9" s="46">
        <v>1</v>
      </c>
      <c r="AY9" s="46">
        <v>1</v>
      </c>
      <c r="AZ9" s="46">
        <f t="shared" si="12"/>
        <v>2</v>
      </c>
      <c r="BA9" s="46"/>
      <c r="BB9" s="46"/>
      <c r="BC9" s="46">
        <f t="shared" si="13"/>
        <v>0</v>
      </c>
      <c r="BD9" s="46">
        <v>122</v>
      </c>
      <c r="BE9" s="46">
        <v>114</v>
      </c>
      <c r="BF9" s="46">
        <f t="shared" si="15"/>
        <v>236</v>
      </c>
      <c r="BG9" s="46">
        <v>20</v>
      </c>
      <c r="BH9" s="46">
        <v>18</v>
      </c>
      <c r="BI9" s="46">
        <f t="shared" si="17"/>
        <v>38</v>
      </c>
      <c r="BJ9" s="46">
        <v>12</v>
      </c>
      <c r="BK9" s="46">
        <v>19</v>
      </c>
      <c r="BL9" s="46">
        <f t="shared" si="19"/>
        <v>31</v>
      </c>
      <c r="BM9" s="46">
        <f t="shared" si="20"/>
        <v>97.6</v>
      </c>
      <c r="BN9" s="46">
        <f t="shared" si="21"/>
        <v>97.44</v>
      </c>
      <c r="BO9" s="46">
        <f t="shared" si="22"/>
        <v>97.52</v>
      </c>
      <c r="BP9" s="46">
        <f t="shared" si="23"/>
        <v>100</v>
      </c>
      <c r="BQ9" s="46">
        <f t="shared" si="24"/>
        <v>90</v>
      </c>
      <c r="BR9" s="46">
        <f t="shared" si="25"/>
        <v>95</v>
      </c>
      <c r="BS9" s="46">
        <f t="shared" si="26"/>
        <v>92.31</v>
      </c>
      <c r="BT9" s="46">
        <f t="shared" si="27"/>
        <v>95</v>
      </c>
      <c r="BU9" s="46">
        <f t="shared" si="28"/>
        <v>93.94</v>
      </c>
      <c r="BV9" s="46">
        <v>0</v>
      </c>
      <c r="BW9" s="46">
        <v>0</v>
      </c>
      <c r="BX9" s="46">
        <f t="shared" si="29"/>
        <v>0</v>
      </c>
      <c r="BY9" s="46">
        <v>0</v>
      </c>
      <c r="BZ9" s="46">
        <v>0</v>
      </c>
      <c r="CA9" s="46">
        <f t="shared" si="30"/>
        <v>0</v>
      </c>
      <c r="CB9" s="46">
        <v>0</v>
      </c>
      <c r="CC9" s="46">
        <v>0</v>
      </c>
      <c r="CD9" s="46">
        <f t="shared" si="31"/>
        <v>0</v>
      </c>
      <c r="CE9" s="46">
        <v>0</v>
      </c>
      <c r="CF9" s="46">
        <v>0</v>
      </c>
      <c r="CG9" s="46">
        <f t="shared" si="32"/>
        <v>0</v>
      </c>
      <c r="CH9" s="46">
        <v>0</v>
      </c>
      <c r="CI9" s="46">
        <v>0</v>
      </c>
      <c r="CJ9" s="46">
        <f t="shared" si="33"/>
        <v>0</v>
      </c>
      <c r="CK9" s="46">
        <v>0</v>
      </c>
      <c r="CL9" s="46">
        <v>0</v>
      </c>
      <c r="CM9" s="46">
        <f t="shared" si="34"/>
        <v>0</v>
      </c>
      <c r="CN9" s="46">
        <v>0</v>
      </c>
      <c r="CO9" s="46">
        <v>0</v>
      </c>
      <c r="CP9" s="46">
        <f t="shared" si="35"/>
        <v>0</v>
      </c>
      <c r="CQ9" s="46">
        <v>0</v>
      </c>
      <c r="CR9" s="46">
        <v>0</v>
      </c>
      <c r="CS9" s="46">
        <f t="shared" si="36"/>
        <v>0</v>
      </c>
      <c r="CT9" s="46">
        <v>0</v>
      </c>
      <c r="CU9" s="46">
        <v>0</v>
      </c>
      <c r="CV9" s="46">
        <f t="shared" si="37"/>
        <v>0</v>
      </c>
      <c r="CW9" s="46">
        <v>0</v>
      </c>
      <c r="CX9" s="46">
        <v>0</v>
      </c>
      <c r="CY9" s="46">
        <f t="shared" si="39"/>
        <v>0</v>
      </c>
      <c r="CZ9" s="46">
        <v>0</v>
      </c>
      <c r="DA9" s="46">
        <v>0</v>
      </c>
      <c r="DB9" s="46">
        <f t="shared" si="41"/>
        <v>0</v>
      </c>
      <c r="DC9" s="46">
        <v>0</v>
      </c>
      <c r="DD9" s="46">
        <v>0</v>
      </c>
      <c r="DE9" s="46">
        <f t="shared" si="43"/>
        <v>0</v>
      </c>
      <c r="DF9" s="46" t="e">
        <f t="shared" si="44"/>
        <v>#DIV/0!</v>
      </c>
      <c r="DG9" s="46" t="e">
        <f t="shared" si="45"/>
        <v>#DIV/0!</v>
      </c>
      <c r="DH9" s="46" t="e">
        <f t="shared" si="46"/>
        <v>#DIV/0!</v>
      </c>
      <c r="DI9" s="46" t="e">
        <f t="shared" si="47"/>
        <v>#DIV/0!</v>
      </c>
      <c r="DJ9" s="46" t="e">
        <f t="shared" si="48"/>
        <v>#DIV/0!</v>
      </c>
      <c r="DK9" s="46" t="e">
        <f t="shared" si="49"/>
        <v>#DIV/0!</v>
      </c>
      <c r="DL9" s="46" t="e">
        <f t="shared" si="50"/>
        <v>#DIV/0!</v>
      </c>
      <c r="DM9" s="46" t="e">
        <f t="shared" si="51"/>
        <v>#DIV/0!</v>
      </c>
      <c r="DN9" s="46" t="e">
        <f t="shared" si="52"/>
        <v>#DIV/0!</v>
      </c>
      <c r="DO9" s="46">
        <v>93</v>
      </c>
      <c r="DP9" s="46">
        <v>94</v>
      </c>
      <c r="DQ9" s="46">
        <f t="shared" si="53"/>
        <v>187</v>
      </c>
      <c r="DR9" s="46">
        <v>15</v>
      </c>
      <c r="DS9" s="46">
        <v>12</v>
      </c>
      <c r="DT9" s="46">
        <f t="shared" si="54"/>
        <v>27</v>
      </c>
      <c r="DU9" s="46">
        <v>9</v>
      </c>
      <c r="DV9" s="46">
        <v>13</v>
      </c>
      <c r="DW9" s="46">
        <f t="shared" si="55"/>
        <v>22</v>
      </c>
      <c r="DX9" s="46">
        <v>29</v>
      </c>
      <c r="DY9" s="46">
        <v>20</v>
      </c>
      <c r="DZ9" s="46">
        <f t="shared" si="56"/>
        <v>49</v>
      </c>
      <c r="EA9" s="46">
        <v>5</v>
      </c>
      <c r="EB9" s="46">
        <v>6</v>
      </c>
      <c r="EC9" s="46">
        <f t="shared" si="57"/>
        <v>11</v>
      </c>
      <c r="ED9" s="46">
        <v>3</v>
      </c>
      <c r="EE9" s="46">
        <v>6</v>
      </c>
      <c r="EF9" s="46">
        <f t="shared" si="58"/>
        <v>9</v>
      </c>
      <c r="EG9" s="46">
        <f t="shared" si="59"/>
        <v>0</v>
      </c>
      <c r="EH9" s="46">
        <f t="shared" si="60"/>
        <v>0</v>
      </c>
      <c r="EI9" s="46">
        <f t="shared" si="61"/>
        <v>0</v>
      </c>
      <c r="EJ9" s="46">
        <f t="shared" si="62"/>
        <v>0</v>
      </c>
      <c r="EK9" s="46">
        <f t="shared" si="63"/>
        <v>0</v>
      </c>
      <c r="EL9" s="3"/>
    </row>
    <row r="10" spans="1:142" s="34" customFormat="1" ht="28.5" x14ac:dyDescent="0.25">
      <c r="A10" s="50">
        <v>4</v>
      </c>
      <c r="B10" s="35" t="s">
        <v>54</v>
      </c>
      <c r="C10" s="27" t="s">
        <v>55</v>
      </c>
      <c r="D10" s="63">
        <v>42795</v>
      </c>
      <c r="E10" s="62" t="s">
        <v>101</v>
      </c>
      <c r="F10" s="62" t="s">
        <v>101</v>
      </c>
      <c r="G10" s="62" t="s">
        <v>101</v>
      </c>
      <c r="H10" s="6">
        <v>0</v>
      </c>
      <c r="I10" s="6">
        <v>0</v>
      </c>
      <c r="J10" s="6">
        <v>0</v>
      </c>
      <c r="K10" s="2">
        <f t="shared" si="0"/>
        <v>0</v>
      </c>
      <c r="L10" s="6">
        <v>0</v>
      </c>
      <c r="M10" s="6">
        <v>0</v>
      </c>
      <c r="N10" s="6">
        <v>0</v>
      </c>
      <c r="O10" s="2">
        <f t="shared" si="1"/>
        <v>0</v>
      </c>
      <c r="P10" s="6">
        <v>0</v>
      </c>
      <c r="Q10" s="6">
        <v>0</v>
      </c>
      <c r="R10" s="6">
        <v>0</v>
      </c>
      <c r="S10" s="2">
        <f t="shared" si="2"/>
        <v>0</v>
      </c>
      <c r="T10" s="15" t="e">
        <f t="shared" si="3"/>
        <v>#DIV/0!</v>
      </c>
      <c r="U10" s="6"/>
      <c r="V10" s="6"/>
      <c r="W10" s="6"/>
      <c r="X10" s="6"/>
      <c r="Y10" s="6"/>
      <c r="Z10" s="6"/>
      <c r="AA10" s="6"/>
      <c r="AB10" s="29">
        <f t="shared" si="4"/>
        <v>0</v>
      </c>
      <c r="AC10" s="30">
        <v>675292</v>
      </c>
      <c r="AD10" s="30">
        <v>658651</v>
      </c>
      <c r="AE10" s="2">
        <f t="shared" si="5"/>
        <v>1333943</v>
      </c>
      <c r="AF10" s="31">
        <v>115027</v>
      </c>
      <c r="AG10" s="31">
        <v>100291</v>
      </c>
      <c r="AH10" s="2">
        <f t="shared" si="6"/>
        <v>215318</v>
      </c>
      <c r="AI10" s="31">
        <v>10011</v>
      </c>
      <c r="AJ10" s="31">
        <v>9832</v>
      </c>
      <c r="AK10" s="2">
        <f t="shared" si="7"/>
        <v>19843</v>
      </c>
      <c r="AL10" s="30">
        <v>398246</v>
      </c>
      <c r="AM10" s="30">
        <v>292604</v>
      </c>
      <c r="AN10" s="2">
        <f t="shared" si="8"/>
        <v>690850</v>
      </c>
      <c r="AO10" s="31">
        <v>58012</v>
      </c>
      <c r="AP10" s="31">
        <v>30198</v>
      </c>
      <c r="AQ10" s="2">
        <f t="shared" si="9"/>
        <v>88210</v>
      </c>
      <c r="AR10" s="31">
        <v>5591</v>
      </c>
      <c r="AS10" s="31">
        <v>4157</v>
      </c>
      <c r="AT10" s="2">
        <f t="shared" si="10"/>
        <v>9748</v>
      </c>
      <c r="AU10" s="31">
        <v>0</v>
      </c>
      <c r="AV10" s="31">
        <v>0</v>
      </c>
      <c r="AW10" s="2">
        <f t="shared" si="11"/>
        <v>0</v>
      </c>
      <c r="AX10" s="31">
        <v>0</v>
      </c>
      <c r="AY10" s="31">
        <v>0</v>
      </c>
      <c r="AZ10" s="2">
        <f t="shared" si="12"/>
        <v>0</v>
      </c>
      <c r="BA10" s="31">
        <v>0</v>
      </c>
      <c r="BB10" s="31">
        <v>0</v>
      </c>
      <c r="BC10" s="2">
        <f t="shared" si="13"/>
        <v>0</v>
      </c>
      <c r="BD10" s="28">
        <f>AL10+AU10</f>
        <v>398246</v>
      </c>
      <c r="BE10" s="28">
        <f>AM10+AV10</f>
        <v>292604</v>
      </c>
      <c r="BF10" s="2">
        <f t="shared" si="15"/>
        <v>690850</v>
      </c>
      <c r="BG10" s="28">
        <f t="shared" ref="BG10:BG31" si="64">AO10+AX10</f>
        <v>58012</v>
      </c>
      <c r="BH10" s="28">
        <f t="shared" ref="BH10:BH31" si="65">AP10+AY10</f>
        <v>30198</v>
      </c>
      <c r="BI10" s="2">
        <f t="shared" si="17"/>
        <v>88210</v>
      </c>
      <c r="BJ10" s="28">
        <f t="shared" ref="BJ10:BJ31" si="66">AR10+BA10</f>
        <v>5591</v>
      </c>
      <c r="BK10" s="28">
        <f t="shared" ref="BK10:BK31" si="67">AS10+BB10</f>
        <v>4157</v>
      </c>
      <c r="BL10" s="2">
        <f t="shared" si="19"/>
        <v>9748</v>
      </c>
      <c r="BM10" s="28">
        <f t="shared" si="20"/>
        <v>58.97</v>
      </c>
      <c r="BN10" s="28">
        <f t="shared" si="21"/>
        <v>44.42</v>
      </c>
      <c r="BO10" s="28">
        <f t="shared" si="22"/>
        <v>51.79</v>
      </c>
      <c r="BP10" s="28">
        <f t="shared" si="23"/>
        <v>50.43</v>
      </c>
      <c r="BQ10" s="28">
        <f t="shared" si="24"/>
        <v>30.11</v>
      </c>
      <c r="BR10" s="28">
        <f t="shared" si="25"/>
        <v>40.97</v>
      </c>
      <c r="BS10" s="28">
        <f t="shared" si="26"/>
        <v>55.85</v>
      </c>
      <c r="BT10" s="28">
        <f t="shared" si="27"/>
        <v>42.28</v>
      </c>
      <c r="BU10" s="28">
        <f t="shared" si="28"/>
        <v>49.13</v>
      </c>
      <c r="BV10" s="30">
        <v>8515</v>
      </c>
      <c r="BW10" s="30">
        <v>2224</v>
      </c>
      <c r="BX10" s="2">
        <f t="shared" si="29"/>
        <v>10739</v>
      </c>
      <c r="BY10" s="31">
        <v>1274</v>
      </c>
      <c r="BZ10" s="31">
        <v>336</v>
      </c>
      <c r="CA10" s="2">
        <f t="shared" si="30"/>
        <v>1610</v>
      </c>
      <c r="CB10" s="31">
        <v>118</v>
      </c>
      <c r="CC10" s="31">
        <v>44</v>
      </c>
      <c r="CD10" s="2">
        <f t="shared" si="31"/>
        <v>162</v>
      </c>
      <c r="CE10" s="30">
        <v>5136</v>
      </c>
      <c r="CF10" s="30">
        <v>959</v>
      </c>
      <c r="CG10" s="2">
        <f t="shared" si="32"/>
        <v>6095</v>
      </c>
      <c r="CH10" s="31">
        <v>701</v>
      </c>
      <c r="CI10" s="31">
        <v>131</v>
      </c>
      <c r="CJ10" s="2">
        <f t="shared" si="33"/>
        <v>832</v>
      </c>
      <c r="CK10" s="31">
        <v>71</v>
      </c>
      <c r="CL10" s="31">
        <v>17</v>
      </c>
      <c r="CM10" s="2">
        <f t="shared" si="34"/>
        <v>88</v>
      </c>
      <c r="CN10" s="31">
        <v>0</v>
      </c>
      <c r="CO10" s="31">
        <v>0</v>
      </c>
      <c r="CP10" s="2">
        <f t="shared" si="35"/>
        <v>0</v>
      </c>
      <c r="CQ10" s="33">
        <v>0</v>
      </c>
      <c r="CR10" s="33">
        <v>0</v>
      </c>
      <c r="CS10" s="2">
        <f t="shared" si="36"/>
        <v>0</v>
      </c>
      <c r="CT10" s="33">
        <v>0</v>
      </c>
      <c r="CU10" s="33">
        <v>0</v>
      </c>
      <c r="CV10" s="2">
        <f t="shared" si="37"/>
        <v>0</v>
      </c>
      <c r="CW10" s="28">
        <f t="shared" ref="CW10:CW31" si="68">CE10+CN10</f>
        <v>5136</v>
      </c>
      <c r="CX10" s="28">
        <f t="shared" ref="CX10:CX31" si="69">CF10+CO10</f>
        <v>959</v>
      </c>
      <c r="CY10" s="2">
        <f t="shared" si="39"/>
        <v>6095</v>
      </c>
      <c r="CZ10" s="28">
        <f t="shared" ref="CZ10:CZ31" si="70">CH10+CQ10</f>
        <v>701</v>
      </c>
      <c r="DA10" s="28">
        <f t="shared" ref="DA10:DA31" si="71">CI10+CR10</f>
        <v>131</v>
      </c>
      <c r="DB10" s="2">
        <f t="shared" si="41"/>
        <v>832</v>
      </c>
      <c r="DC10" s="28">
        <f t="shared" ref="DC10:DC31" si="72">CK10+CT10</f>
        <v>71</v>
      </c>
      <c r="DD10" s="28">
        <f t="shared" ref="DD10:DD31" si="73">CL10+CU10</f>
        <v>17</v>
      </c>
      <c r="DE10" s="2">
        <f t="shared" si="43"/>
        <v>88</v>
      </c>
      <c r="DF10" s="28">
        <f t="shared" si="44"/>
        <v>60.32</v>
      </c>
      <c r="DG10" s="28">
        <f t="shared" si="45"/>
        <v>43.12</v>
      </c>
      <c r="DH10" s="28">
        <f t="shared" si="46"/>
        <v>56.76</v>
      </c>
      <c r="DI10" s="28">
        <f t="shared" si="47"/>
        <v>55.02</v>
      </c>
      <c r="DJ10" s="28">
        <f t="shared" si="48"/>
        <v>38.99</v>
      </c>
      <c r="DK10" s="28">
        <f t="shared" si="49"/>
        <v>51.68</v>
      </c>
      <c r="DL10" s="28">
        <f t="shared" si="50"/>
        <v>60.17</v>
      </c>
      <c r="DM10" s="28">
        <f t="shared" si="51"/>
        <v>38.64</v>
      </c>
      <c r="DN10" s="28">
        <f t="shared" si="52"/>
        <v>54.32</v>
      </c>
      <c r="DO10" s="32">
        <v>0</v>
      </c>
      <c r="DP10" s="32">
        <v>0</v>
      </c>
      <c r="DQ10" s="2">
        <f t="shared" si="53"/>
        <v>0</v>
      </c>
      <c r="DR10" s="32">
        <v>0</v>
      </c>
      <c r="DS10" s="32">
        <v>0</v>
      </c>
      <c r="DT10" s="2">
        <f t="shared" si="54"/>
        <v>0</v>
      </c>
      <c r="DU10" s="32">
        <v>0</v>
      </c>
      <c r="DV10" s="32">
        <v>0</v>
      </c>
      <c r="DW10" s="2">
        <f t="shared" si="55"/>
        <v>0</v>
      </c>
      <c r="DX10" s="32">
        <v>0</v>
      </c>
      <c r="DY10" s="32">
        <v>0</v>
      </c>
      <c r="DZ10" s="2">
        <f t="shared" si="56"/>
        <v>0</v>
      </c>
      <c r="EA10" s="32">
        <v>0</v>
      </c>
      <c r="EB10" s="32">
        <v>0</v>
      </c>
      <c r="EC10" s="2">
        <f t="shared" si="57"/>
        <v>0</v>
      </c>
      <c r="ED10" s="32">
        <v>0</v>
      </c>
      <c r="EE10" s="32">
        <v>0</v>
      </c>
      <c r="EF10" s="2">
        <f t="shared" si="58"/>
        <v>0</v>
      </c>
      <c r="EG10" s="4">
        <f t="shared" si="59"/>
        <v>-1344682</v>
      </c>
      <c r="EH10" s="4">
        <f t="shared" si="60"/>
        <v>-696945</v>
      </c>
      <c r="EI10" s="4">
        <f t="shared" si="61"/>
        <v>-696945</v>
      </c>
      <c r="EJ10" s="4">
        <f t="shared" si="62"/>
        <v>-89042</v>
      </c>
      <c r="EK10" s="4">
        <f t="shared" si="63"/>
        <v>-9836</v>
      </c>
    </row>
    <row r="11" spans="1:142" s="34" customFormat="1" ht="36.75" customHeight="1" x14ac:dyDescent="0.25">
      <c r="A11" s="51">
        <v>34</v>
      </c>
      <c r="B11" s="48" t="s">
        <v>115</v>
      </c>
      <c r="C11" s="46" t="s">
        <v>75</v>
      </c>
      <c r="D11" s="65" t="s">
        <v>75</v>
      </c>
      <c r="E11" s="65" t="s">
        <v>75</v>
      </c>
      <c r="F11" s="65" t="s">
        <v>75</v>
      </c>
      <c r="G11" s="65" t="s">
        <v>75</v>
      </c>
      <c r="H11" s="46">
        <v>0</v>
      </c>
      <c r="I11" s="46">
        <v>0</v>
      </c>
      <c r="J11" s="46">
        <v>0</v>
      </c>
      <c r="K11" s="46">
        <f t="shared" si="0"/>
        <v>0</v>
      </c>
      <c r="L11" s="46">
        <v>0</v>
      </c>
      <c r="M11" s="46">
        <v>0</v>
      </c>
      <c r="N11" s="46">
        <v>0</v>
      </c>
      <c r="O11" s="46">
        <f t="shared" si="1"/>
        <v>0</v>
      </c>
      <c r="P11" s="46">
        <v>0</v>
      </c>
      <c r="Q11" s="46">
        <v>0</v>
      </c>
      <c r="R11" s="46">
        <v>0</v>
      </c>
      <c r="S11" s="46">
        <f t="shared" si="2"/>
        <v>0</v>
      </c>
      <c r="T11" s="46" t="e">
        <f t="shared" si="3"/>
        <v>#DIV/0!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7">
        <f t="shared" si="4"/>
        <v>0</v>
      </c>
      <c r="AC11" s="46">
        <v>0</v>
      </c>
      <c r="AD11" s="46">
        <v>0</v>
      </c>
      <c r="AE11" s="46">
        <f t="shared" si="5"/>
        <v>0</v>
      </c>
      <c r="AF11" s="46">
        <v>0</v>
      </c>
      <c r="AG11" s="46">
        <v>0</v>
      </c>
      <c r="AH11" s="46">
        <f t="shared" si="6"/>
        <v>0</v>
      </c>
      <c r="AI11" s="46">
        <v>0</v>
      </c>
      <c r="AJ11" s="46">
        <v>0</v>
      </c>
      <c r="AK11" s="46">
        <f t="shared" si="7"/>
        <v>0</v>
      </c>
      <c r="AL11" s="46">
        <v>0</v>
      </c>
      <c r="AM11" s="46">
        <v>0</v>
      </c>
      <c r="AN11" s="46">
        <f t="shared" si="8"/>
        <v>0</v>
      </c>
      <c r="AO11" s="46">
        <v>0</v>
      </c>
      <c r="AP11" s="46">
        <v>0</v>
      </c>
      <c r="AQ11" s="46">
        <f t="shared" si="9"/>
        <v>0</v>
      </c>
      <c r="AR11" s="46">
        <v>0</v>
      </c>
      <c r="AS11" s="46">
        <v>0</v>
      </c>
      <c r="AT11" s="46">
        <f t="shared" si="10"/>
        <v>0</v>
      </c>
      <c r="AU11" s="46">
        <v>0</v>
      </c>
      <c r="AV11" s="46">
        <v>0</v>
      </c>
      <c r="AW11" s="46">
        <f t="shared" si="11"/>
        <v>0</v>
      </c>
      <c r="AX11" s="46">
        <v>0</v>
      </c>
      <c r="AY11" s="46">
        <v>0</v>
      </c>
      <c r="AZ11" s="46">
        <f t="shared" si="12"/>
        <v>0</v>
      </c>
      <c r="BA11" s="46">
        <v>0</v>
      </c>
      <c r="BB11" s="46">
        <v>0</v>
      </c>
      <c r="BC11" s="46">
        <f t="shared" si="13"/>
        <v>0</v>
      </c>
      <c r="BD11" s="46">
        <f>AL11+AU11</f>
        <v>0</v>
      </c>
      <c r="BE11" s="46">
        <f>AM11+AV11</f>
        <v>0</v>
      </c>
      <c r="BF11" s="46">
        <f t="shared" si="15"/>
        <v>0</v>
      </c>
      <c r="BG11" s="46">
        <f t="shared" si="64"/>
        <v>0</v>
      </c>
      <c r="BH11" s="46">
        <f t="shared" si="65"/>
        <v>0</v>
      </c>
      <c r="BI11" s="46">
        <f t="shared" si="17"/>
        <v>0</v>
      </c>
      <c r="BJ11" s="46">
        <f t="shared" si="66"/>
        <v>0</v>
      </c>
      <c r="BK11" s="46">
        <f t="shared" si="67"/>
        <v>0</v>
      </c>
      <c r="BL11" s="46">
        <f t="shared" si="19"/>
        <v>0</v>
      </c>
      <c r="BM11" s="46" t="e">
        <f t="shared" si="20"/>
        <v>#DIV/0!</v>
      </c>
      <c r="BN11" s="46" t="e">
        <f t="shared" si="21"/>
        <v>#DIV/0!</v>
      </c>
      <c r="BO11" s="46" t="e">
        <f t="shared" si="22"/>
        <v>#DIV/0!</v>
      </c>
      <c r="BP11" s="46" t="e">
        <f t="shared" si="23"/>
        <v>#DIV/0!</v>
      </c>
      <c r="BQ11" s="46" t="e">
        <f t="shared" si="24"/>
        <v>#DIV/0!</v>
      </c>
      <c r="BR11" s="46" t="e">
        <f t="shared" si="25"/>
        <v>#DIV/0!</v>
      </c>
      <c r="BS11" s="46" t="e">
        <f t="shared" si="26"/>
        <v>#DIV/0!</v>
      </c>
      <c r="BT11" s="46" t="e">
        <f t="shared" si="27"/>
        <v>#DIV/0!</v>
      </c>
      <c r="BU11" s="46" t="e">
        <f t="shared" si="28"/>
        <v>#DIV/0!</v>
      </c>
      <c r="BV11" s="46">
        <v>30550</v>
      </c>
      <c r="BW11" s="46">
        <v>5038</v>
      </c>
      <c r="BX11" s="46">
        <f t="shared" si="29"/>
        <v>35588</v>
      </c>
      <c r="BY11" s="46">
        <v>18878</v>
      </c>
      <c r="BZ11" s="46">
        <v>30511</v>
      </c>
      <c r="CA11" s="46">
        <f t="shared" si="30"/>
        <v>49389</v>
      </c>
      <c r="CB11" s="46">
        <v>0</v>
      </c>
      <c r="CC11" s="46">
        <v>0</v>
      </c>
      <c r="CD11" s="46">
        <f t="shared" si="31"/>
        <v>0</v>
      </c>
      <c r="CE11" s="46">
        <v>0</v>
      </c>
      <c r="CF11" s="46">
        <v>0</v>
      </c>
      <c r="CG11" s="46">
        <f t="shared" si="32"/>
        <v>0</v>
      </c>
      <c r="CH11" s="46">
        <v>0</v>
      </c>
      <c r="CI11" s="46">
        <v>0</v>
      </c>
      <c r="CJ11" s="46">
        <f t="shared" si="33"/>
        <v>0</v>
      </c>
      <c r="CK11" s="46">
        <v>0</v>
      </c>
      <c r="CL11" s="46">
        <v>0</v>
      </c>
      <c r="CM11" s="46">
        <f t="shared" si="34"/>
        <v>0</v>
      </c>
      <c r="CN11" s="46">
        <v>0</v>
      </c>
      <c r="CO11" s="46">
        <v>0</v>
      </c>
      <c r="CP11" s="46">
        <f t="shared" si="35"/>
        <v>0</v>
      </c>
      <c r="CQ11" s="46">
        <v>0</v>
      </c>
      <c r="CR11" s="46">
        <v>0</v>
      </c>
      <c r="CS11" s="46">
        <f t="shared" si="36"/>
        <v>0</v>
      </c>
      <c r="CT11" s="46">
        <v>0</v>
      </c>
      <c r="CU11" s="46">
        <v>0</v>
      </c>
      <c r="CV11" s="46">
        <f t="shared" si="37"/>
        <v>0</v>
      </c>
      <c r="CW11" s="46">
        <f t="shared" si="68"/>
        <v>0</v>
      </c>
      <c r="CX11" s="46">
        <f t="shared" si="69"/>
        <v>0</v>
      </c>
      <c r="CY11" s="46">
        <f t="shared" si="39"/>
        <v>0</v>
      </c>
      <c r="CZ11" s="46">
        <f t="shared" si="70"/>
        <v>0</v>
      </c>
      <c r="DA11" s="46">
        <f t="shared" si="71"/>
        <v>0</v>
      </c>
      <c r="DB11" s="46">
        <f t="shared" si="41"/>
        <v>0</v>
      </c>
      <c r="DC11" s="46">
        <f t="shared" si="72"/>
        <v>0</v>
      </c>
      <c r="DD11" s="46">
        <f t="shared" si="73"/>
        <v>0</v>
      </c>
      <c r="DE11" s="46">
        <f t="shared" si="43"/>
        <v>0</v>
      </c>
      <c r="DF11" s="46">
        <f t="shared" si="44"/>
        <v>0</v>
      </c>
      <c r="DG11" s="46">
        <f t="shared" si="45"/>
        <v>0</v>
      </c>
      <c r="DH11" s="46">
        <f t="shared" si="46"/>
        <v>0</v>
      </c>
      <c r="DI11" s="46">
        <f t="shared" si="47"/>
        <v>0</v>
      </c>
      <c r="DJ11" s="46">
        <f t="shared" si="48"/>
        <v>0</v>
      </c>
      <c r="DK11" s="46">
        <f t="shared" si="49"/>
        <v>0</v>
      </c>
      <c r="DL11" s="46" t="e">
        <f t="shared" si="50"/>
        <v>#DIV/0!</v>
      </c>
      <c r="DM11" s="46" t="e">
        <f t="shared" si="51"/>
        <v>#DIV/0!</v>
      </c>
      <c r="DN11" s="46" t="e">
        <f t="shared" si="52"/>
        <v>#DIV/0!</v>
      </c>
      <c r="DO11" s="46">
        <v>3</v>
      </c>
      <c r="DP11" s="46">
        <v>1</v>
      </c>
      <c r="DQ11" s="46">
        <f t="shared" si="53"/>
        <v>4</v>
      </c>
      <c r="DR11" s="46">
        <v>0</v>
      </c>
      <c r="DS11" s="46">
        <v>0</v>
      </c>
      <c r="DT11" s="46">
        <f t="shared" si="54"/>
        <v>0</v>
      </c>
      <c r="DU11" s="46">
        <v>0</v>
      </c>
      <c r="DV11" s="46">
        <v>0</v>
      </c>
      <c r="DW11" s="46">
        <f t="shared" si="55"/>
        <v>0</v>
      </c>
      <c r="DX11" s="46">
        <v>18875</v>
      </c>
      <c r="DY11" s="46">
        <v>30510</v>
      </c>
      <c r="DZ11" s="46">
        <f t="shared" si="56"/>
        <v>49385</v>
      </c>
      <c r="EA11" s="46">
        <v>0</v>
      </c>
      <c r="EB11" s="46">
        <v>0</v>
      </c>
      <c r="EC11" s="46">
        <f t="shared" si="57"/>
        <v>0</v>
      </c>
      <c r="ED11" s="46">
        <v>0</v>
      </c>
      <c r="EE11" s="46">
        <v>0</v>
      </c>
      <c r="EF11" s="46">
        <f t="shared" si="58"/>
        <v>0</v>
      </c>
      <c r="EG11" s="46">
        <f t="shared" si="59"/>
        <v>-35588</v>
      </c>
      <c r="EH11" s="46">
        <f t="shared" si="60"/>
        <v>0</v>
      </c>
      <c r="EI11" s="46">
        <f t="shared" si="61"/>
        <v>49389</v>
      </c>
      <c r="EJ11" s="46">
        <f t="shared" si="62"/>
        <v>0</v>
      </c>
      <c r="EK11" s="46">
        <f t="shared" si="63"/>
        <v>0</v>
      </c>
      <c r="EL11" s="3"/>
    </row>
    <row r="12" spans="1:142" s="34" customFormat="1" ht="30" customHeight="1" x14ac:dyDescent="0.25">
      <c r="A12" s="76">
        <v>9</v>
      </c>
      <c r="B12" s="27" t="s">
        <v>64</v>
      </c>
      <c r="C12" s="53" t="s">
        <v>123</v>
      </c>
      <c r="D12" s="63">
        <v>42800</v>
      </c>
      <c r="E12" s="63">
        <v>42829</v>
      </c>
      <c r="F12" s="63">
        <v>42943</v>
      </c>
      <c r="G12" s="63">
        <v>42944</v>
      </c>
      <c r="H12" s="6">
        <v>3272</v>
      </c>
      <c r="I12" s="6">
        <v>190</v>
      </c>
      <c r="J12" s="6">
        <v>3260</v>
      </c>
      <c r="K12" s="2">
        <f t="shared" si="0"/>
        <v>6722</v>
      </c>
      <c r="L12" s="6">
        <v>160378</v>
      </c>
      <c r="M12" s="6">
        <v>13645</v>
      </c>
      <c r="N12" s="6">
        <v>145139</v>
      </c>
      <c r="O12" s="2">
        <f t="shared" si="1"/>
        <v>319162</v>
      </c>
      <c r="P12" s="6">
        <v>72130</v>
      </c>
      <c r="Q12" s="6">
        <v>7240</v>
      </c>
      <c r="R12" s="6">
        <v>87116</v>
      </c>
      <c r="S12" s="2">
        <f t="shared" si="2"/>
        <v>166486</v>
      </c>
      <c r="T12" s="15">
        <f t="shared" si="3"/>
        <v>52.16</v>
      </c>
      <c r="U12" s="6">
        <v>102</v>
      </c>
      <c r="V12" s="6">
        <v>359</v>
      </c>
      <c r="W12" s="6">
        <v>582</v>
      </c>
      <c r="X12" s="6">
        <v>730</v>
      </c>
      <c r="Y12" s="6">
        <v>785</v>
      </c>
      <c r="Z12" s="6">
        <v>898</v>
      </c>
      <c r="AA12" s="6">
        <v>2961</v>
      </c>
      <c r="AB12" s="29">
        <f t="shared" si="4"/>
        <v>305</v>
      </c>
      <c r="AC12" s="30">
        <v>175393</v>
      </c>
      <c r="AD12" s="39">
        <v>143769</v>
      </c>
      <c r="AE12" s="2">
        <f t="shared" si="5"/>
        <v>319162</v>
      </c>
      <c r="AF12" s="31">
        <v>44283</v>
      </c>
      <c r="AG12" s="31">
        <v>41715</v>
      </c>
      <c r="AH12" s="2">
        <f t="shared" si="6"/>
        <v>85998</v>
      </c>
      <c r="AI12" s="31">
        <v>60</v>
      </c>
      <c r="AJ12" s="31">
        <v>41</v>
      </c>
      <c r="AK12" s="2">
        <f t="shared" si="7"/>
        <v>101</v>
      </c>
      <c r="AL12" s="30">
        <v>81368</v>
      </c>
      <c r="AM12" s="30">
        <v>79615</v>
      </c>
      <c r="AN12" s="2">
        <f t="shared" si="8"/>
        <v>160983</v>
      </c>
      <c r="AO12" s="31">
        <v>16456</v>
      </c>
      <c r="AP12" s="31">
        <v>16895</v>
      </c>
      <c r="AQ12" s="2">
        <f t="shared" si="9"/>
        <v>33351</v>
      </c>
      <c r="AR12" s="31">
        <v>30</v>
      </c>
      <c r="AS12" s="31">
        <v>29</v>
      </c>
      <c r="AT12" s="2">
        <f t="shared" si="10"/>
        <v>59</v>
      </c>
      <c r="AU12" s="40">
        <v>3155</v>
      </c>
      <c r="AV12" s="40">
        <v>2348</v>
      </c>
      <c r="AW12" s="2">
        <f t="shared" si="11"/>
        <v>5503</v>
      </c>
      <c r="AX12" s="33">
        <v>743</v>
      </c>
      <c r="AY12" s="33">
        <v>673</v>
      </c>
      <c r="AZ12" s="2">
        <f t="shared" si="12"/>
        <v>1416</v>
      </c>
      <c r="BA12" s="33">
        <v>1</v>
      </c>
      <c r="BB12" s="33">
        <v>0</v>
      </c>
      <c r="BC12" s="2">
        <f t="shared" si="13"/>
        <v>1</v>
      </c>
      <c r="BD12" s="28">
        <v>84523</v>
      </c>
      <c r="BE12" s="28">
        <f t="shared" ref="BE12:BE31" si="74">AM12+AV12</f>
        <v>81963</v>
      </c>
      <c r="BF12" s="2">
        <f t="shared" si="15"/>
        <v>166486</v>
      </c>
      <c r="BG12" s="28">
        <f t="shared" si="64"/>
        <v>17199</v>
      </c>
      <c r="BH12" s="28">
        <f t="shared" si="65"/>
        <v>17568</v>
      </c>
      <c r="BI12" s="2">
        <f t="shared" si="17"/>
        <v>34767</v>
      </c>
      <c r="BJ12" s="28">
        <f t="shared" si="66"/>
        <v>31</v>
      </c>
      <c r="BK12" s="28">
        <f t="shared" si="67"/>
        <v>29</v>
      </c>
      <c r="BL12" s="2">
        <f t="shared" si="19"/>
        <v>60</v>
      </c>
      <c r="BM12" s="28">
        <f t="shared" si="20"/>
        <v>48.19</v>
      </c>
      <c r="BN12" s="28">
        <f t="shared" si="21"/>
        <v>57.01</v>
      </c>
      <c r="BO12" s="28">
        <f t="shared" si="22"/>
        <v>52.16</v>
      </c>
      <c r="BP12" s="28">
        <f t="shared" si="23"/>
        <v>38.840000000000003</v>
      </c>
      <c r="BQ12" s="28">
        <f t="shared" si="24"/>
        <v>42.11</v>
      </c>
      <c r="BR12" s="28">
        <f t="shared" si="25"/>
        <v>40.43</v>
      </c>
      <c r="BS12" s="28">
        <f t="shared" si="26"/>
        <v>51.67</v>
      </c>
      <c r="BT12" s="28">
        <f t="shared" si="27"/>
        <v>70.73</v>
      </c>
      <c r="BU12" s="28">
        <f t="shared" si="28"/>
        <v>59.41</v>
      </c>
      <c r="BV12" s="41">
        <v>0</v>
      </c>
      <c r="BW12" s="41">
        <v>0</v>
      </c>
      <c r="BX12" s="2">
        <f t="shared" si="29"/>
        <v>0</v>
      </c>
      <c r="BY12" s="33">
        <v>0</v>
      </c>
      <c r="BZ12" s="33">
        <v>0</v>
      </c>
      <c r="CA12" s="2">
        <v>0</v>
      </c>
      <c r="CB12" s="31">
        <v>0</v>
      </c>
      <c r="CC12" s="31">
        <v>0</v>
      </c>
      <c r="CD12" s="2">
        <f t="shared" si="31"/>
        <v>0</v>
      </c>
      <c r="CE12" s="41">
        <v>0</v>
      </c>
      <c r="CF12" s="41">
        <v>0</v>
      </c>
      <c r="CG12" s="2">
        <v>0</v>
      </c>
      <c r="CH12" s="33">
        <v>0</v>
      </c>
      <c r="CI12" s="33">
        <v>0</v>
      </c>
      <c r="CJ12" s="2">
        <f t="shared" si="33"/>
        <v>0</v>
      </c>
      <c r="CK12" s="31">
        <v>0</v>
      </c>
      <c r="CL12" s="31">
        <v>0</v>
      </c>
      <c r="CM12" s="2">
        <f t="shared" si="34"/>
        <v>0</v>
      </c>
      <c r="CN12" s="33">
        <v>0</v>
      </c>
      <c r="CO12" s="33">
        <v>0</v>
      </c>
      <c r="CP12" s="2">
        <f t="shared" si="35"/>
        <v>0</v>
      </c>
      <c r="CQ12" s="31">
        <v>0</v>
      </c>
      <c r="CR12" s="31">
        <v>0</v>
      </c>
      <c r="CS12" s="2">
        <f t="shared" si="36"/>
        <v>0</v>
      </c>
      <c r="CT12" s="31">
        <v>0</v>
      </c>
      <c r="CU12" s="31">
        <v>0</v>
      </c>
      <c r="CV12" s="2">
        <f t="shared" si="37"/>
        <v>0</v>
      </c>
      <c r="CW12" s="28">
        <f t="shared" si="68"/>
        <v>0</v>
      </c>
      <c r="CX12" s="28">
        <f t="shared" si="69"/>
        <v>0</v>
      </c>
      <c r="CY12" s="2">
        <f t="shared" si="39"/>
        <v>0</v>
      </c>
      <c r="CZ12" s="28">
        <f t="shared" si="70"/>
        <v>0</v>
      </c>
      <c r="DA12" s="28">
        <f t="shared" si="71"/>
        <v>0</v>
      </c>
      <c r="DB12" s="2">
        <f t="shared" si="41"/>
        <v>0</v>
      </c>
      <c r="DC12" s="28">
        <f t="shared" si="72"/>
        <v>0</v>
      </c>
      <c r="DD12" s="28">
        <f t="shared" si="73"/>
        <v>0</v>
      </c>
      <c r="DE12" s="2">
        <f t="shared" si="43"/>
        <v>0</v>
      </c>
      <c r="DF12" s="28" t="e">
        <f t="shared" si="44"/>
        <v>#DIV/0!</v>
      </c>
      <c r="DG12" s="28" t="e">
        <f t="shared" si="45"/>
        <v>#DIV/0!</v>
      </c>
      <c r="DH12" s="28" t="e">
        <f t="shared" si="46"/>
        <v>#DIV/0!</v>
      </c>
      <c r="DI12" s="28" t="e">
        <f t="shared" si="47"/>
        <v>#DIV/0!</v>
      </c>
      <c r="DJ12" s="28" t="e">
        <f t="shared" si="48"/>
        <v>#DIV/0!</v>
      </c>
      <c r="DK12" s="28" t="e">
        <f t="shared" si="49"/>
        <v>#DIV/0!</v>
      </c>
      <c r="DL12" s="28" t="e">
        <f t="shared" si="50"/>
        <v>#DIV/0!</v>
      </c>
      <c r="DM12" s="28" t="e">
        <f t="shared" si="51"/>
        <v>#DIV/0!</v>
      </c>
      <c r="DN12" s="28" t="e">
        <f t="shared" si="52"/>
        <v>#DIV/0!</v>
      </c>
      <c r="DO12" s="32">
        <v>61969</v>
      </c>
      <c r="DP12" s="32">
        <v>65106</v>
      </c>
      <c r="DQ12" s="2">
        <f t="shared" si="53"/>
        <v>127075</v>
      </c>
      <c r="DR12" s="32">
        <v>10210</v>
      </c>
      <c r="DS12" s="32">
        <v>11276</v>
      </c>
      <c r="DT12" s="2">
        <f t="shared" si="54"/>
        <v>21486</v>
      </c>
      <c r="DU12" s="32">
        <v>26</v>
      </c>
      <c r="DV12" s="32">
        <v>25</v>
      </c>
      <c r="DW12" s="2">
        <f t="shared" si="55"/>
        <v>51</v>
      </c>
      <c r="DX12" s="32">
        <v>22554</v>
      </c>
      <c r="DY12" s="32">
        <v>16857</v>
      </c>
      <c r="DZ12" s="2">
        <f t="shared" si="56"/>
        <v>39411</v>
      </c>
      <c r="EA12" s="32">
        <v>6989</v>
      </c>
      <c r="EB12" s="32">
        <v>6292</v>
      </c>
      <c r="EC12" s="2">
        <f t="shared" si="57"/>
        <v>13281</v>
      </c>
      <c r="ED12" s="32">
        <v>5</v>
      </c>
      <c r="EE12" s="32">
        <v>4</v>
      </c>
      <c r="EF12" s="2">
        <f t="shared" si="58"/>
        <v>9</v>
      </c>
      <c r="EG12" s="4">
        <f t="shared" si="59"/>
        <v>0</v>
      </c>
      <c r="EH12" s="4">
        <f t="shared" si="60"/>
        <v>0</v>
      </c>
      <c r="EI12" s="4">
        <f t="shared" si="61"/>
        <v>0</v>
      </c>
      <c r="EJ12" s="4">
        <f t="shared" si="62"/>
        <v>0</v>
      </c>
      <c r="EK12" s="4">
        <f t="shared" si="63"/>
        <v>0</v>
      </c>
    </row>
    <row r="13" spans="1:142" s="34" customFormat="1" ht="37.5" customHeight="1" x14ac:dyDescent="0.25">
      <c r="A13" s="51">
        <v>38</v>
      </c>
      <c r="B13" s="43" t="s">
        <v>121</v>
      </c>
      <c r="C13" s="46" t="s">
        <v>75</v>
      </c>
      <c r="D13" s="65" t="s">
        <v>75</v>
      </c>
      <c r="E13" s="65" t="s">
        <v>75</v>
      </c>
      <c r="F13" s="65" t="s">
        <v>75</v>
      </c>
      <c r="G13" s="65" t="s">
        <v>75</v>
      </c>
      <c r="H13" s="46">
        <v>0</v>
      </c>
      <c r="I13" s="46">
        <v>0</v>
      </c>
      <c r="J13" s="46">
        <v>0</v>
      </c>
      <c r="K13" s="46">
        <f t="shared" si="0"/>
        <v>0</v>
      </c>
      <c r="L13" s="46">
        <v>0</v>
      </c>
      <c r="M13" s="46">
        <v>0</v>
      </c>
      <c r="N13" s="46">
        <v>0</v>
      </c>
      <c r="O13" s="46">
        <f t="shared" si="1"/>
        <v>0</v>
      </c>
      <c r="P13" s="46">
        <v>0</v>
      </c>
      <c r="Q13" s="46">
        <v>0</v>
      </c>
      <c r="R13" s="46">
        <v>0</v>
      </c>
      <c r="S13" s="46">
        <f t="shared" si="2"/>
        <v>0</v>
      </c>
      <c r="T13" s="46" t="e">
        <f t="shared" si="3"/>
        <v>#DIV/0!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  <c r="AB13" s="47">
        <f t="shared" si="4"/>
        <v>0</v>
      </c>
      <c r="AC13" s="46">
        <v>17374</v>
      </c>
      <c r="AD13" s="46">
        <v>17774</v>
      </c>
      <c r="AE13" s="46">
        <f t="shared" si="5"/>
        <v>35148</v>
      </c>
      <c r="AF13" s="46">
        <v>625</v>
      </c>
      <c r="AG13" s="46">
        <v>729</v>
      </c>
      <c r="AH13" s="46">
        <f t="shared" si="6"/>
        <v>1354</v>
      </c>
      <c r="AI13" s="46">
        <v>6771</v>
      </c>
      <c r="AJ13" s="46">
        <v>7070</v>
      </c>
      <c r="AK13" s="46">
        <f t="shared" si="7"/>
        <v>13841</v>
      </c>
      <c r="AL13" s="46">
        <v>11931</v>
      </c>
      <c r="AM13" s="46">
        <v>11313</v>
      </c>
      <c r="AN13" s="46">
        <f t="shared" si="8"/>
        <v>23244</v>
      </c>
      <c r="AO13" s="46">
        <v>449</v>
      </c>
      <c r="AP13" s="46">
        <v>513</v>
      </c>
      <c r="AQ13" s="46">
        <f t="shared" si="9"/>
        <v>962</v>
      </c>
      <c r="AR13" s="46">
        <v>4549</v>
      </c>
      <c r="AS13" s="46">
        <v>4327</v>
      </c>
      <c r="AT13" s="46">
        <f t="shared" si="10"/>
        <v>8876</v>
      </c>
      <c r="AU13" s="46">
        <v>2057</v>
      </c>
      <c r="AV13" s="46">
        <v>2319</v>
      </c>
      <c r="AW13" s="46">
        <f t="shared" si="11"/>
        <v>4376</v>
      </c>
      <c r="AX13" s="46">
        <v>67</v>
      </c>
      <c r="AY13" s="46">
        <v>67</v>
      </c>
      <c r="AZ13" s="46">
        <f t="shared" si="12"/>
        <v>134</v>
      </c>
      <c r="BA13" s="46">
        <v>922</v>
      </c>
      <c r="BB13" s="46">
        <v>1058</v>
      </c>
      <c r="BC13" s="46">
        <f t="shared" si="13"/>
        <v>1980</v>
      </c>
      <c r="BD13" s="46">
        <f t="shared" ref="BD13:BD31" si="75">AL13+AU13</f>
        <v>13988</v>
      </c>
      <c r="BE13" s="46">
        <f t="shared" si="74"/>
        <v>13632</v>
      </c>
      <c r="BF13" s="46">
        <f t="shared" si="15"/>
        <v>27620</v>
      </c>
      <c r="BG13" s="46">
        <f t="shared" si="64"/>
        <v>516</v>
      </c>
      <c r="BH13" s="46">
        <f t="shared" si="65"/>
        <v>580</v>
      </c>
      <c r="BI13" s="46">
        <f t="shared" si="17"/>
        <v>1096</v>
      </c>
      <c r="BJ13" s="46">
        <f t="shared" si="66"/>
        <v>5471</v>
      </c>
      <c r="BK13" s="46">
        <f t="shared" si="67"/>
        <v>5385</v>
      </c>
      <c r="BL13" s="46">
        <f t="shared" si="19"/>
        <v>10856</v>
      </c>
      <c r="BM13" s="46">
        <f t="shared" si="20"/>
        <v>80.510000000000005</v>
      </c>
      <c r="BN13" s="46">
        <f t="shared" si="21"/>
        <v>76.7</v>
      </c>
      <c r="BO13" s="46">
        <f t="shared" si="22"/>
        <v>78.58</v>
      </c>
      <c r="BP13" s="46">
        <f t="shared" si="23"/>
        <v>82.56</v>
      </c>
      <c r="BQ13" s="46">
        <f t="shared" si="24"/>
        <v>79.56</v>
      </c>
      <c r="BR13" s="46">
        <f t="shared" si="25"/>
        <v>80.95</v>
      </c>
      <c r="BS13" s="46">
        <f t="shared" si="26"/>
        <v>80.8</v>
      </c>
      <c r="BT13" s="46">
        <f t="shared" si="27"/>
        <v>76.17</v>
      </c>
      <c r="BU13" s="46">
        <f t="shared" si="28"/>
        <v>78.430000000000007</v>
      </c>
      <c r="BV13" s="46">
        <v>25</v>
      </c>
      <c r="BW13" s="46">
        <v>13</v>
      </c>
      <c r="BX13" s="46">
        <f t="shared" si="29"/>
        <v>38</v>
      </c>
      <c r="BY13" s="46">
        <v>1</v>
      </c>
      <c r="BZ13" s="46">
        <v>0</v>
      </c>
      <c r="CA13" s="46">
        <f t="shared" ref="CA13:CA50" si="76">BY13+BZ13</f>
        <v>1</v>
      </c>
      <c r="CB13" s="46">
        <v>5</v>
      </c>
      <c r="CC13" s="46">
        <v>3</v>
      </c>
      <c r="CD13" s="46">
        <f t="shared" si="31"/>
        <v>8</v>
      </c>
      <c r="CE13" s="46">
        <v>7</v>
      </c>
      <c r="CF13" s="46">
        <v>4</v>
      </c>
      <c r="CG13" s="46">
        <f t="shared" ref="CG13:CG50" si="77">CE13+CF13</f>
        <v>11</v>
      </c>
      <c r="CH13" s="46">
        <v>0</v>
      </c>
      <c r="CI13" s="46">
        <v>0</v>
      </c>
      <c r="CJ13" s="46">
        <f t="shared" si="33"/>
        <v>0</v>
      </c>
      <c r="CK13" s="46">
        <v>1</v>
      </c>
      <c r="CL13" s="46">
        <v>1</v>
      </c>
      <c r="CM13" s="46">
        <f t="shared" si="34"/>
        <v>2</v>
      </c>
      <c r="CN13" s="46">
        <v>1</v>
      </c>
      <c r="CO13" s="46">
        <v>0</v>
      </c>
      <c r="CP13" s="46">
        <f t="shared" si="35"/>
        <v>1</v>
      </c>
      <c r="CQ13" s="46">
        <v>0</v>
      </c>
      <c r="CR13" s="46">
        <v>0</v>
      </c>
      <c r="CS13" s="46">
        <f t="shared" si="36"/>
        <v>0</v>
      </c>
      <c r="CT13" s="46">
        <v>0</v>
      </c>
      <c r="CU13" s="46">
        <v>0</v>
      </c>
      <c r="CV13" s="46">
        <f t="shared" si="37"/>
        <v>0</v>
      </c>
      <c r="CW13" s="46">
        <f t="shared" si="68"/>
        <v>8</v>
      </c>
      <c r="CX13" s="46">
        <f t="shared" si="69"/>
        <v>4</v>
      </c>
      <c r="CY13" s="46">
        <f t="shared" si="39"/>
        <v>12</v>
      </c>
      <c r="CZ13" s="46">
        <f t="shared" si="70"/>
        <v>0</v>
      </c>
      <c r="DA13" s="46">
        <f t="shared" si="71"/>
        <v>0</v>
      </c>
      <c r="DB13" s="46">
        <f t="shared" si="41"/>
        <v>0</v>
      </c>
      <c r="DC13" s="46">
        <f t="shared" si="72"/>
        <v>1</v>
      </c>
      <c r="DD13" s="46">
        <f t="shared" si="73"/>
        <v>1</v>
      </c>
      <c r="DE13" s="46">
        <f t="shared" si="43"/>
        <v>2</v>
      </c>
      <c r="DF13" s="46">
        <f t="shared" si="44"/>
        <v>32</v>
      </c>
      <c r="DG13" s="46">
        <f t="shared" si="45"/>
        <v>30.77</v>
      </c>
      <c r="DH13" s="46">
        <f t="shared" si="46"/>
        <v>31.58</v>
      </c>
      <c r="DI13" s="46">
        <f t="shared" si="47"/>
        <v>0</v>
      </c>
      <c r="DJ13" s="46" t="e">
        <f t="shared" si="48"/>
        <v>#DIV/0!</v>
      </c>
      <c r="DK13" s="46">
        <f t="shared" si="49"/>
        <v>0</v>
      </c>
      <c r="DL13" s="46">
        <f t="shared" si="50"/>
        <v>20</v>
      </c>
      <c r="DM13" s="46">
        <f t="shared" si="51"/>
        <v>33.33</v>
      </c>
      <c r="DN13" s="46">
        <f t="shared" si="52"/>
        <v>25</v>
      </c>
      <c r="DO13" s="46">
        <v>486</v>
      </c>
      <c r="DP13" s="46">
        <v>473</v>
      </c>
      <c r="DQ13" s="46">
        <f t="shared" si="53"/>
        <v>959</v>
      </c>
      <c r="DR13" s="46">
        <v>20</v>
      </c>
      <c r="DS13" s="46">
        <v>38</v>
      </c>
      <c r="DT13" s="46">
        <f t="shared" si="54"/>
        <v>58</v>
      </c>
      <c r="DU13" s="46">
        <v>85</v>
      </c>
      <c r="DV13" s="46">
        <v>81</v>
      </c>
      <c r="DW13" s="46">
        <f t="shared" si="55"/>
        <v>166</v>
      </c>
      <c r="DX13" s="46">
        <v>3863</v>
      </c>
      <c r="DY13" s="46">
        <v>3824</v>
      </c>
      <c r="DZ13" s="46">
        <f t="shared" si="56"/>
        <v>7687</v>
      </c>
      <c r="EA13" s="46">
        <v>135</v>
      </c>
      <c r="EB13" s="46">
        <v>184</v>
      </c>
      <c r="EC13" s="46">
        <f t="shared" si="57"/>
        <v>319</v>
      </c>
      <c r="ED13" s="46">
        <v>1321</v>
      </c>
      <c r="EE13" s="46">
        <v>1373</v>
      </c>
      <c r="EF13" s="46">
        <f t="shared" si="58"/>
        <v>2694</v>
      </c>
      <c r="EG13" s="46">
        <f t="shared" si="59"/>
        <v>-35186</v>
      </c>
      <c r="EH13" s="46">
        <f t="shared" si="60"/>
        <v>-27632</v>
      </c>
      <c r="EI13" s="46">
        <f t="shared" si="61"/>
        <v>-18986</v>
      </c>
      <c r="EJ13" s="46">
        <f t="shared" si="62"/>
        <v>-719</v>
      </c>
      <c r="EK13" s="46">
        <f t="shared" si="63"/>
        <v>-7998</v>
      </c>
      <c r="EL13" s="3"/>
    </row>
    <row r="14" spans="1:142" s="34" customFormat="1" ht="28.5" x14ac:dyDescent="0.25">
      <c r="A14" s="50">
        <v>12</v>
      </c>
      <c r="B14" s="27" t="s">
        <v>122</v>
      </c>
      <c r="C14" s="27" t="s">
        <v>69</v>
      </c>
      <c r="D14" s="63">
        <v>42794</v>
      </c>
      <c r="E14" s="63">
        <v>42804</v>
      </c>
      <c r="F14" s="63">
        <v>42887</v>
      </c>
      <c r="G14" s="63">
        <v>42893</v>
      </c>
      <c r="H14" s="6">
        <v>0</v>
      </c>
      <c r="I14" s="6">
        <v>9031</v>
      </c>
      <c r="J14" s="6">
        <v>0</v>
      </c>
      <c r="K14" s="2">
        <f t="shared" si="0"/>
        <v>9031</v>
      </c>
      <c r="L14" s="6">
        <v>0</v>
      </c>
      <c r="M14" s="6">
        <v>601814</v>
      </c>
      <c r="N14" s="6">
        <v>0</v>
      </c>
      <c r="O14" s="2">
        <f t="shared" si="1"/>
        <v>601814</v>
      </c>
      <c r="P14" s="6">
        <v>0</v>
      </c>
      <c r="Q14" s="6">
        <v>508262</v>
      </c>
      <c r="R14" s="6"/>
      <c r="S14" s="2">
        <f t="shared" si="2"/>
        <v>508262</v>
      </c>
      <c r="T14" s="15">
        <f t="shared" si="3"/>
        <v>84.45</v>
      </c>
      <c r="U14" s="6">
        <v>748</v>
      </c>
      <c r="V14" s="6">
        <v>3209</v>
      </c>
      <c r="W14" s="6">
        <v>2056</v>
      </c>
      <c r="X14" s="6">
        <v>1112</v>
      </c>
      <c r="Y14" s="6">
        <v>657</v>
      </c>
      <c r="Z14" s="6">
        <v>462</v>
      </c>
      <c r="AA14" s="6">
        <v>568</v>
      </c>
      <c r="AB14" s="29">
        <f t="shared" si="4"/>
        <v>219</v>
      </c>
      <c r="AC14" s="30">
        <v>280389</v>
      </c>
      <c r="AD14" s="30">
        <v>287799</v>
      </c>
      <c r="AE14" s="2">
        <f t="shared" si="5"/>
        <v>568188</v>
      </c>
      <c r="AF14" s="31">
        <v>53734</v>
      </c>
      <c r="AG14" s="31">
        <v>55747</v>
      </c>
      <c r="AH14" s="2">
        <f t="shared" si="6"/>
        <v>109481</v>
      </c>
      <c r="AI14" s="31">
        <v>56181</v>
      </c>
      <c r="AJ14" s="31">
        <v>62963</v>
      </c>
      <c r="AK14" s="2">
        <f t="shared" si="7"/>
        <v>119144</v>
      </c>
      <c r="AL14" s="30">
        <v>239979</v>
      </c>
      <c r="AM14" s="30">
        <v>248893</v>
      </c>
      <c r="AN14" s="2">
        <f t="shared" si="8"/>
        <v>488872</v>
      </c>
      <c r="AO14" s="31">
        <v>43780</v>
      </c>
      <c r="AP14" s="31">
        <v>45198</v>
      </c>
      <c r="AQ14" s="2">
        <f t="shared" si="9"/>
        <v>88978</v>
      </c>
      <c r="AR14" s="31">
        <v>46282</v>
      </c>
      <c r="AS14" s="31">
        <v>53186</v>
      </c>
      <c r="AT14" s="2">
        <f t="shared" si="10"/>
        <v>99468</v>
      </c>
      <c r="AU14" s="31">
        <v>2324</v>
      </c>
      <c r="AV14" s="31">
        <v>2222</v>
      </c>
      <c r="AW14" s="2">
        <f t="shared" si="11"/>
        <v>4546</v>
      </c>
      <c r="AX14" s="31">
        <v>492</v>
      </c>
      <c r="AY14" s="31">
        <v>472</v>
      </c>
      <c r="AZ14" s="2">
        <f t="shared" si="12"/>
        <v>964</v>
      </c>
      <c r="BA14" s="31">
        <v>592</v>
      </c>
      <c r="BB14" s="31">
        <v>616</v>
      </c>
      <c r="BC14" s="2">
        <f t="shared" si="13"/>
        <v>1208</v>
      </c>
      <c r="BD14" s="28">
        <f t="shared" si="75"/>
        <v>242303</v>
      </c>
      <c r="BE14" s="28">
        <f t="shared" si="74"/>
        <v>251115</v>
      </c>
      <c r="BF14" s="2">
        <f t="shared" si="15"/>
        <v>493418</v>
      </c>
      <c r="BG14" s="28">
        <f t="shared" si="64"/>
        <v>44272</v>
      </c>
      <c r="BH14" s="28">
        <f t="shared" si="65"/>
        <v>45670</v>
      </c>
      <c r="BI14" s="2">
        <f t="shared" si="17"/>
        <v>89942</v>
      </c>
      <c r="BJ14" s="28">
        <f t="shared" si="66"/>
        <v>46874</v>
      </c>
      <c r="BK14" s="28">
        <f t="shared" si="67"/>
        <v>53802</v>
      </c>
      <c r="BL14" s="2">
        <f t="shared" si="19"/>
        <v>100676</v>
      </c>
      <c r="BM14" s="28">
        <f t="shared" si="20"/>
        <v>86.42</v>
      </c>
      <c r="BN14" s="28">
        <f t="shared" si="21"/>
        <v>87.25</v>
      </c>
      <c r="BO14" s="28">
        <f t="shared" si="22"/>
        <v>86.84</v>
      </c>
      <c r="BP14" s="28">
        <f t="shared" si="23"/>
        <v>82.39</v>
      </c>
      <c r="BQ14" s="28">
        <f t="shared" si="24"/>
        <v>81.92</v>
      </c>
      <c r="BR14" s="28">
        <f t="shared" si="25"/>
        <v>82.15</v>
      </c>
      <c r="BS14" s="28">
        <f t="shared" si="26"/>
        <v>83.43</v>
      </c>
      <c r="BT14" s="28">
        <f t="shared" si="27"/>
        <v>85.45</v>
      </c>
      <c r="BU14" s="28">
        <f t="shared" si="28"/>
        <v>84.5</v>
      </c>
      <c r="BV14" s="30">
        <v>12757</v>
      </c>
      <c r="BW14" s="30">
        <v>10037</v>
      </c>
      <c r="BX14" s="2">
        <f t="shared" si="29"/>
        <v>22794</v>
      </c>
      <c r="BY14" s="31">
        <v>3121</v>
      </c>
      <c r="BZ14" s="31">
        <v>2695</v>
      </c>
      <c r="CA14" s="2">
        <f t="shared" si="76"/>
        <v>5816</v>
      </c>
      <c r="CB14" s="31">
        <v>3628</v>
      </c>
      <c r="CC14" s="31">
        <v>3121</v>
      </c>
      <c r="CD14" s="2">
        <f t="shared" si="31"/>
        <v>6749</v>
      </c>
      <c r="CE14" s="30">
        <v>7969</v>
      </c>
      <c r="CF14" s="30">
        <v>6158</v>
      </c>
      <c r="CG14" s="2">
        <f t="shared" si="77"/>
        <v>14127</v>
      </c>
      <c r="CH14" s="31">
        <v>1890</v>
      </c>
      <c r="CI14" s="31">
        <v>1637</v>
      </c>
      <c r="CJ14" s="2">
        <f t="shared" si="33"/>
        <v>3527</v>
      </c>
      <c r="CK14" s="31">
        <v>2237</v>
      </c>
      <c r="CL14" s="31">
        <v>1847</v>
      </c>
      <c r="CM14" s="2">
        <f t="shared" si="34"/>
        <v>4084</v>
      </c>
      <c r="CN14" s="31">
        <v>372</v>
      </c>
      <c r="CO14" s="31">
        <v>332</v>
      </c>
      <c r="CP14" s="2">
        <f t="shared" si="35"/>
        <v>704</v>
      </c>
      <c r="CQ14" s="31">
        <v>85</v>
      </c>
      <c r="CR14" s="31">
        <v>85</v>
      </c>
      <c r="CS14" s="2">
        <f t="shared" si="36"/>
        <v>170</v>
      </c>
      <c r="CT14" s="31">
        <v>102</v>
      </c>
      <c r="CU14" s="31">
        <v>81</v>
      </c>
      <c r="CV14" s="2">
        <f t="shared" si="37"/>
        <v>183</v>
      </c>
      <c r="CW14" s="28">
        <f t="shared" si="68"/>
        <v>8341</v>
      </c>
      <c r="CX14" s="28">
        <f t="shared" si="69"/>
        <v>6490</v>
      </c>
      <c r="CY14" s="2">
        <f t="shared" si="39"/>
        <v>14831</v>
      </c>
      <c r="CZ14" s="28">
        <f t="shared" si="70"/>
        <v>1975</v>
      </c>
      <c r="DA14" s="28">
        <f t="shared" si="71"/>
        <v>1722</v>
      </c>
      <c r="DB14" s="2">
        <f t="shared" si="41"/>
        <v>3697</v>
      </c>
      <c r="DC14" s="28">
        <f t="shared" si="72"/>
        <v>2339</v>
      </c>
      <c r="DD14" s="28">
        <f t="shared" si="73"/>
        <v>1928</v>
      </c>
      <c r="DE14" s="2">
        <f t="shared" si="43"/>
        <v>4267</v>
      </c>
      <c r="DF14" s="28">
        <f t="shared" si="44"/>
        <v>65.38</v>
      </c>
      <c r="DG14" s="28">
        <f t="shared" si="45"/>
        <v>64.66</v>
      </c>
      <c r="DH14" s="28">
        <f t="shared" si="46"/>
        <v>65.069999999999993</v>
      </c>
      <c r="DI14" s="28">
        <f t="shared" si="47"/>
        <v>63.28</v>
      </c>
      <c r="DJ14" s="28">
        <f t="shared" si="48"/>
        <v>63.9</v>
      </c>
      <c r="DK14" s="28">
        <f t="shared" si="49"/>
        <v>63.57</v>
      </c>
      <c r="DL14" s="28">
        <f t="shared" si="50"/>
        <v>64.47</v>
      </c>
      <c r="DM14" s="28">
        <f t="shared" si="51"/>
        <v>61.78</v>
      </c>
      <c r="DN14" s="28">
        <f t="shared" si="52"/>
        <v>63.22</v>
      </c>
      <c r="DO14" s="32">
        <f>90662+447</f>
        <v>91109</v>
      </c>
      <c r="DP14" s="32">
        <f>99095+290</f>
        <v>99385</v>
      </c>
      <c r="DQ14" s="2">
        <f t="shared" si="53"/>
        <v>190494</v>
      </c>
      <c r="DR14" s="32">
        <f>13640+96</f>
        <v>13736</v>
      </c>
      <c r="DS14" s="32">
        <f>14547+74</f>
        <v>14621</v>
      </c>
      <c r="DT14" s="2">
        <f t="shared" si="54"/>
        <v>28357</v>
      </c>
      <c r="DU14" s="32">
        <f>12117+114</f>
        <v>12231</v>
      </c>
      <c r="DV14" s="32">
        <f>15930+68</f>
        <v>15998</v>
      </c>
      <c r="DW14" s="2">
        <f t="shared" si="55"/>
        <v>28229</v>
      </c>
      <c r="DX14" s="42">
        <f>149317+7469</f>
        <v>156786</v>
      </c>
      <c r="DY14" s="42">
        <f>149798+5802</f>
        <v>155600</v>
      </c>
      <c r="DZ14" s="2">
        <f t="shared" si="56"/>
        <v>312386</v>
      </c>
      <c r="EA14" s="32">
        <f>30140+1786</f>
        <v>31926</v>
      </c>
      <c r="EB14" s="32">
        <f>30651+1556</f>
        <v>32207</v>
      </c>
      <c r="EC14" s="2">
        <f t="shared" si="57"/>
        <v>64133</v>
      </c>
      <c r="ED14" s="32">
        <f>34165+2119</f>
        <v>36284</v>
      </c>
      <c r="EE14" s="32">
        <f>37256+1773</f>
        <v>39029</v>
      </c>
      <c r="EF14" s="2">
        <f t="shared" si="58"/>
        <v>75313</v>
      </c>
      <c r="EG14" s="4">
        <f t="shared" si="59"/>
        <v>10832</v>
      </c>
      <c r="EH14" s="4">
        <f t="shared" si="60"/>
        <v>13</v>
      </c>
      <c r="EI14" s="4">
        <f t="shared" si="61"/>
        <v>-5369</v>
      </c>
      <c r="EJ14" s="4">
        <f t="shared" si="62"/>
        <v>-1149</v>
      </c>
      <c r="EK14" s="4">
        <f t="shared" si="63"/>
        <v>-1401</v>
      </c>
    </row>
    <row r="15" spans="1:142" s="34" customFormat="1" ht="33.75" customHeight="1" x14ac:dyDescent="0.25">
      <c r="A15" s="51">
        <v>18</v>
      </c>
      <c r="B15" s="53" t="s">
        <v>90</v>
      </c>
      <c r="C15" s="48" t="s">
        <v>82</v>
      </c>
      <c r="D15" s="64">
        <v>42803</v>
      </c>
      <c r="E15" s="64">
        <v>42835</v>
      </c>
      <c r="F15" s="64">
        <v>42933</v>
      </c>
      <c r="G15" s="64">
        <v>42940</v>
      </c>
      <c r="H15" s="46">
        <v>1821</v>
      </c>
      <c r="I15" s="46">
        <v>228</v>
      </c>
      <c r="J15" s="46">
        <v>12617</v>
      </c>
      <c r="K15" s="46">
        <f t="shared" si="0"/>
        <v>14666</v>
      </c>
      <c r="L15" s="46">
        <v>274381</v>
      </c>
      <c r="M15" s="46">
        <v>18915</v>
      </c>
      <c r="N15" s="46">
        <v>1222290</v>
      </c>
      <c r="O15" s="46">
        <f t="shared" si="1"/>
        <v>1515586</v>
      </c>
      <c r="P15" s="46">
        <v>207681</v>
      </c>
      <c r="Q15" s="46">
        <v>18112</v>
      </c>
      <c r="R15" s="46">
        <v>1211350</v>
      </c>
      <c r="S15" s="46">
        <f t="shared" si="2"/>
        <v>1437143</v>
      </c>
      <c r="T15" s="46">
        <f t="shared" si="3"/>
        <v>94.82</v>
      </c>
      <c r="U15" s="46">
        <v>11413</v>
      </c>
      <c r="V15" s="46">
        <v>3498</v>
      </c>
      <c r="W15" s="46">
        <v>790</v>
      </c>
      <c r="X15" s="46">
        <v>304</v>
      </c>
      <c r="Y15" s="46">
        <v>131</v>
      </c>
      <c r="Z15" s="46">
        <v>67</v>
      </c>
      <c r="AA15" s="46">
        <v>145</v>
      </c>
      <c r="AB15" s="47">
        <f t="shared" si="4"/>
        <v>-1682</v>
      </c>
      <c r="AC15" s="46">
        <v>979745</v>
      </c>
      <c r="AD15" s="46">
        <v>671844</v>
      </c>
      <c r="AE15" s="46">
        <f t="shared" si="5"/>
        <v>1651589</v>
      </c>
      <c r="AF15" s="46">
        <v>78213</v>
      </c>
      <c r="AG15" s="46">
        <v>57214</v>
      </c>
      <c r="AH15" s="46">
        <f t="shared" si="6"/>
        <v>135427</v>
      </c>
      <c r="AI15" s="46">
        <v>31927</v>
      </c>
      <c r="AJ15" s="46">
        <v>26341</v>
      </c>
      <c r="AK15" s="2">
        <f t="shared" si="7"/>
        <v>58268</v>
      </c>
      <c r="AL15" s="46">
        <v>919505</v>
      </c>
      <c r="AM15" s="46">
        <v>624862</v>
      </c>
      <c r="AN15" s="46">
        <f t="shared" si="8"/>
        <v>1544367</v>
      </c>
      <c r="AO15" s="46">
        <v>68926</v>
      </c>
      <c r="AP15" s="46">
        <v>49190</v>
      </c>
      <c r="AQ15" s="46">
        <f t="shared" si="9"/>
        <v>118116</v>
      </c>
      <c r="AR15" s="46">
        <v>28422</v>
      </c>
      <c r="AS15" s="46">
        <v>23057</v>
      </c>
      <c r="AT15" s="46">
        <f t="shared" si="10"/>
        <v>51479</v>
      </c>
      <c r="AU15" s="46">
        <v>16903</v>
      </c>
      <c r="AV15" s="46">
        <v>11943</v>
      </c>
      <c r="AW15" s="46">
        <f t="shared" si="11"/>
        <v>28846</v>
      </c>
      <c r="AX15" s="46">
        <v>1670</v>
      </c>
      <c r="AY15" s="46">
        <v>1592</v>
      </c>
      <c r="AZ15" s="2">
        <f t="shared" si="12"/>
        <v>3262</v>
      </c>
      <c r="BA15" s="46">
        <v>1714</v>
      </c>
      <c r="BB15" s="46">
        <v>1738</v>
      </c>
      <c r="BC15" s="46">
        <f t="shared" si="13"/>
        <v>3452</v>
      </c>
      <c r="BD15" s="46">
        <f t="shared" si="75"/>
        <v>936408</v>
      </c>
      <c r="BE15" s="46">
        <f t="shared" si="74"/>
        <v>636805</v>
      </c>
      <c r="BF15" s="46">
        <f t="shared" si="15"/>
        <v>1573213</v>
      </c>
      <c r="BG15" s="46">
        <f t="shared" si="64"/>
        <v>70596</v>
      </c>
      <c r="BH15" s="46">
        <f t="shared" si="65"/>
        <v>50782</v>
      </c>
      <c r="BI15" s="46">
        <f t="shared" si="17"/>
        <v>121378</v>
      </c>
      <c r="BJ15" s="46">
        <f t="shared" si="66"/>
        <v>30136</v>
      </c>
      <c r="BK15" s="46">
        <f t="shared" si="67"/>
        <v>24795</v>
      </c>
      <c r="BL15" s="46">
        <f t="shared" si="19"/>
        <v>54931</v>
      </c>
      <c r="BM15" s="46">
        <f t="shared" si="20"/>
        <v>95.58</v>
      </c>
      <c r="BN15" s="46">
        <f t="shared" si="21"/>
        <v>94.78</v>
      </c>
      <c r="BO15" s="46">
        <f t="shared" si="22"/>
        <v>95.25</v>
      </c>
      <c r="BP15" s="46">
        <f t="shared" si="23"/>
        <v>90.26</v>
      </c>
      <c r="BQ15" s="46">
        <f t="shared" si="24"/>
        <v>88.76</v>
      </c>
      <c r="BR15" s="46">
        <f t="shared" si="25"/>
        <v>89.63</v>
      </c>
      <c r="BS15" s="46">
        <f t="shared" si="26"/>
        <v>94.39</v>
      </c>
      <c r="BT15" s="46">
        <f t="shared" si="27"/>
        <v>94.13</v>
      </c>
      <c r="BU15" s="46">
        <f t="shared" si="28"/>
        <v>94.27</v>
      </c>
      <c r="BV15" s="46">
        <v>3946</v>
      </c>
      <c r="BW15" s="46">
        <v>3511</v>
      </c>
      <c r="BX15" s="46">
        <f t="shared" si="29"/>
        <v>7457</v>
      </c>
      <c r="BY15" s="46">
        <v>48</v>
      </c>
      <c r="BZ15" s="46">
        <v>90</v>
      </c>
      <c r="CA15" s="2">
        <f t="shared" si="76"/>
        <v>138</v>
      </c>
      <c r="CB15" s="46">
        <v>15</v>
      </c>
      <c r="CC15" s="46">
        <v>5</v>
      </c>
      <c r="CD15" s="2">
        <f t="shared" si="31"/>
        <v>20</v>
      </c>
      <c r="CE15" s="46">
        <v>298</v>
      </c>
      <c r="CF15" s="46">
        <v>201</v>
      </c>
      <c r="CG15" s="46">
        <f t="shared" si="77"/>
        <v>499</v>
      </c>
      <c r="CH15" s="46">
        <v>27</v>
      </c>
      <c r="CI15" s="46">
        <v>9</v>
      </c>
      <c r="CJ15" s="2">
        <f t="shared" si="33"/>
        <v>36</v>
      </c>
      <c r="CK15" s="46">
        <v>4</v>
      </c>
      <c r="CL15" s="46">
        <v>3</v>
      </c>
      <c r="CM15" s="2">
        <f t="shared" si="34"/>
        <v>7</v>
      </c>
      <c r="CN15" s="46">
        <v>341</v>
      </c>
      <c r="CO15" s="46">
        <v>315</v>
      </c>
      <c r="CP15" s="2">
        <f t="shared" si="35"/>
        <v>656</v>
      </c>
      <c r="CQ15" s="46">
        <v>5</v>
      </c>
      <c r="CR15" s="46">
        <v>8</v>
      </c>
      <c r="CS15" s="2">
        <f t="shared" si="36"/>
        <v>13</v>
      </c>
      <c r="CT15" s="46">
        <v>2</v>
      </c>
      <c r="CU15" s="46">
        <v>0</v>
      </c>
      <c r="CV15" s="2">
        <f t="shared" si="37"/>
        <v>2</v>
      </c>
      <c r="CW15" s="46">
        <f t="shared" si="68"/>
        <v>639</v>
      </c>
      <c r="CX15" s="46">
        <f t="shared" si="69"/>
        <v>516</v>
      </c>
      <c r="CY15" s="46">
        <f t="shared" si="39"/>
        <v>1155</v>
      </c>
      <c r="CZ15" s="28">
        <f t="shared" si="70"/>
        <v>32</v>
      </c>
      <c r="DA15" s="28">
        <f t="shared" si="71"/>
        <v>17</v>
      </c>
      <c r="DB15" s="2">
        <f t="shared" si="41"/>
        <v>49</v>
      </c>
      <c r="DC15" s="28">
        <f t="shared" si="72"/>
        <v>6</v>
      </c>
      <c r="DD15" s="28">
        <f t="shared" si="73"/>
        <v>3</v>
      </c>
      <c r="DE15" s="2">
        <f t="shared" si="43"/>
        <v>9</v>
      </c>
      <c r="DF15" s="46">
        <f t="shared" si="44"/>
        <v>16.190000000000001</v>
      </c>
      <c r="DG15" s="46">
        <f t="shared" si="45"/>
        <v>14.7</v>
      </c>
      <c r="DH15" s="46">
        <f t="shared" si="46"/>
        <v>15.49</v>
      </c>
      <c r="DI15" s="28">
        <f t="shared" si="47"/>
        <v>66.67</v>
      </c>
      <c r="DJ15" s="28">
        <f t="shared" si="48"/>
        <v>18.89</v>
      </c>
      <c r="DK15" s="28">
        <f t="shared" si="49"/>
        <v>35.51</v>
      </c>
      <c r="DL15" s="28">
        <f t="shared" si="50"/>
        <v>40</v>
      </c>
      <c r="DM15" s="28">
        <f t="shared" si="51"/>
        <v>60</v>
      </c>
      <c r="DN15" s="28">
        <f t="shared" si="52"/>
        <v>45</v>
      </c>
      <c r="DO15" s="46">
        <v>722065</v>
      </c>
      <c r="DP15" s="46">
        <v>512751</v>
      </c>
      <c r="DQ15" s="46">
        <f t="shared" si="53"/>
        <v>1234816</v>
      </c>
      <c r="DR15" s="46">
        <v>48276</v>
      </c>
      <c r="DS15" s="46">
        <v>33982</v>
      </c>
      <c r="DT15" s="46">
        <f t="shared" si="54"/>
        <v>82258</v>
      </c>
      <c r="DU15" s="46">
        <v>18426</v>
      </c>
      <c r="DV15" s="46">
        <v>15088</v>
      </c>
      <c r="DW15" s="46">
        <f t="shared" si="55"/>
        <v>33514</v>
      </c>
      <c r="DX15" s="46">
        <v>197345</v>
      </c>
      <c r="DY15" s="46">
        <v>112084</v>
      </c>
      <c r="DZ15" s="46">
        <f t="shared" si="56"/>
        <v>309429</v>
      </c>
      <c r="EA15" s="46">
        <v>20642</v>
      </c>
      <c r="EB15" s="46">
        <v>15206</v>
      </c>
      <c r="EC15" s="46">
        <f t="shared" si="57"/>
        <v>35848</v>
      </c>
      <c r="ED15" s="46">
        <v>9996</v>
      </c>
      <c r="EE15" s="46">
        <v>7969</v>
      </c>
      <c r="EF15" s="46">
        <f t="shared" si="58"/>
        <v>17965</v>
      </c>
      <c r="EG15" s="46">
        <f t="shared" si="59"/>
        <v>-143460</v>
      </c>
      <c r="EH15" s="46">
        <f t="shared" si="60"/>
        <v>-137225</v>
      </c>
      <c r="EI15" s="46">
        <f t="shared" si="61"/>
        <v>-30123</v>
      </c>
      <c r="EJ15" s="46">
        <f t="shared" si="62"/>
        <v>-3321</v>
      </c>
      <c r="EK15" s="46">
        <f t="shared" si="63"/>
        <v>-3461</v>
      </c>
      <c r="EL15" s="3"/>
    </row>
    <row r="16" spans="1:142" s="34" customFormat="1" ht="28.5" x14ac:dyDescent="0.25">
      <c r="A16" s="50">
        <v>6</v>
      </c>
      <c r="B16" s="35" t="s">
        <v>58</v>
      </c>
      <c r="C16" s="27" t="s">
        <v>59</v>
      </c>
      <c r="D16" s="63">
        <v>42780</v>
      </c>
      <c r="E16" s="63">
        <v>42795</v>
      </c>
      <c r="F16" s="63">
        <v>42933</v>
      </c>
      <c r="G16" s="63">
        <v>42935</v>
      </c>
      <c r="H16" s="6">
        <v>1</v>
      </c>
      <c r="I16" s="6">
        <v>5</v>
      </c>
      <c r="J16" s="6">
        <v>31</v>
      </c>
      <c r="K16" s="2">
        <f t="shared" si="0"/>
        <v>37</v>
      </c>
      <c r="L16" s="6">
        <v>6</v>
      </c>
      <c r="M16" s="6">
        <v>196</v>
      </c>
      <c r="N16" s="6">
        <v>561</v>
      </c>
      <c r="O16" s="2">
        <f t="shared" si="1"/>
        <v>763</v>
      </c>
      <c r="P16" s="6">
        <v>6</v>
      </c>
      <c r="Q16" s="6">
        <v>196</v>
      </c>
      <c r="R16" s="6">
        <v>517</v>
      </c>
      <c r="S16" s="2">
        <f t="shared" si="2"/>
        <v>719</v>
      </c>
      <c r="T16" s="15">
        <f t="shared" si="3"/>
        <v>94.23</v>
      </c>
      <c r="U16" s="6"/>
      <c r="V16" s="6"/>
      <c r="W16" s="6"/>
      <c r="X16" s="6"/>
      <c r="Y16" s="6"/>
      <c r="Z16" s="6"/>
      <c r="AA16" s="6"/>
      <c r="AB16" s="29">
        <f t="shared" si="4"/>
        <v>37</v>
      </c>
      <c r="AC16" s="30">
        <v>440</v>
      </c>
      <c r="AD16" s="30">
        <v>312</v>
      </c>
      <c r="AE16" s="2">
        <f t="shared" si="5"/>
        <v>752</v>
      </c>
      <c r="AF16" s="36">
        <v>38</v>
      </c>
      <c r="AG16" s="36">
        <v>50</v>
      </c>
      <c r="AH16" s="2">
        <f t="shared" si="6"/>
        <v>88</v>
      </c>
      <c r="AI16" s="31">
        <v>179</v>
      </c>
      <c r="AJ16" s="31">
        <v>106</v>
      </c>
      <c r="AK16" s="2">
        <f t="shared" si="7"/>
        <v>285</v>
      </c>
      <c r="AL16" s="30">
        <v>399</v>
      </c>
      <c r="AM16" s="30">
        <v>297</v>
      </c>
      <c r="AN16" s="2">
        <f t="shared" si="8"/>
        <v>696</v>
      </c>
      <c r="AO16" s="36">
        <v>35</v>
      </c>
      <c r="AP16" s="36">
        <v>46</v>
      </c>
      <c r="AQ16" s="2">
        <f t="shared" si="9"/>
        <v>81</v>
      </c>
      <c r="AR16" s="31">
        <v>174</v>
      </c>
      <c r="AS16" s="31">
        <v>102</v>
      </c>
      <c r="AT16" s="2">
        <f t="shared" si="10"/>
        <v>276</v>
      </c>
      <c r="AU16" s="31">
        <v>10</v>
      </c>
      <c r="AV16" s="31">
        <v>2</v>
      </c>
      <c r="AW16" s="2">
        <f t="shared" si="11"/>
        <v>12</v>
      </c>
      <c r="AX16" s="33">
        <v>1</v>
      </c>
      <c r="AY16" s="33">
        <v>2</v>
      </c>
      <c r="AZ16" s="2">
        <f t="shared" si="12"/>
        <v>3</v>
      </c>
      <c r="BA16" s="31">
        <v>1</v>
      </c>
      <c r="BB16" s="31">
        <v>1</v>
      </c>
      <c r="BC16" s="2">
        <f t="shared" si="13"/>
        <v>2</v>
      </c>
      <c r="BD16" s="28">
        <f t="shared" si="75"/>
        <v>409</v>
      </c>
      <c r="BE16" s="28">
        <f t="shared" si="74"/>
        <v>299</v>
      </c>
      <c r="BF16" s="2">
        <f t="shared" si="15"/>
        <v>708</v>
      </c>
      <c r="BG16" s="28">
        <f t="shared" si="64"/>
        <v>36</v>
      </c>
      <c r="BH16" s="28">
        <f t="shared" si="65"/>
        <v>48</v>
      </c>
      <c r="BI16" s="2">
        <f t="shared" si="17"/>
        <v>84</v>
      </c>
      <c r="BJ16" s="28">
        <f t="shared" si="66"/>
        <v>175</v>
      </c>
      <c r="BK16" s="28">
        <f t="shared" si="67"/>
        <v>103</v>
      </c>
      <c r="BL16" s="2">
        <f t="shared" si="19"/>
        <v>278</v>
      </c>
      <c r="BM16" s="28">
        <f t="shared" si="20"/>
        <v>92.95</v>
      </c>
      <c r="BN16" s="28">
        <f t="shared" si="21"/>
        <v>95.83</v>
      </c>
      <c r="BO16" s="28">
        <f t="shared" si="22"/>
        <v>94.15</v>
      </c>
      <c r="BP16" s="28">
        <f t="shared" si="23"/>
        <v>94.74</v>
      </c>
      <c r="BQ16" s="28">
        <f t="shared" si="24"/>
        <v>96</v>
      </c>
      <c r="BR16" s="28">
        <f t="shared" si="25"/>
        <v>95.45</v>
      </c>
      <c r="BS16" s="28">
        <f t="shared" si="26"/>
        <v>97.77</v>
      </c>
      <c r="BT16" s="28">
        <f t="shared" si="27"/>
        <v>97.17</v>
      </c>
      <c r="BU16" s="28">
        <f t="shared" si="28"/>
        <v>97.54</v>
      </c>
      <c r="BV16" s="30">
        <v>10</v>
      </c>
      <c r="BW16" s="30">
        <v>1</v>
      </c>
      <c r="BX16" s="2">
        <f t="shared" si="29"/>
        <v>11</v>
      </c>
      <c r="BY16" s="31">
        <v>0</v>
      </c>
      <c r="BZ16" s="31">
        <v>1</v>
      </c>
      <c r="CA16" s="2">
        <f t="shared" si="76"/>
        <v>1</v>
      </c>
      <c r="CB16" s="31">
        <v>1</v>
      </c>
      <c r="CC16" s="31">
        <v>0</v>
      </c>
      <c r="CD16" s="2">
        <f t="shared" si="31"/>
        <v>1</v>
      </c>
      <c r="CE16" s="30">
        <v>10</v>
      </c>
      <c r="CF16" s="30">
        <v>1</v>
      </c>
      <c r="CG16" s="2">
        <f t="shared" si="77"/>
        <v>11</v>
      </c>
      <c r="CH16" s="31">
        <v>0</v>
      </c>
      <c r="CI16" s="31">
        <v>1</v>
      </c>
      <c r="CJ16" s="2">
        <f t="shared" si="33"/>
        <v>1</v>
      </c>
      <c r="CK16" s="31">
        <v>1</v>
      </c>
      <c r="CL16" s="31">
        <v>0</v>
      </c>
      <c r="CM16" s="2">
        <f t="shared" si="34"/>
        <v>1</v>
      </c>
      <c r="CN16" s="33">
        <v>0</v>
      </c>
      <c r="CO16" s="31">
        <v>0</v>
      </c>
      <c r="CP16" s="2">
        <f t="shared" si="35"/>
        <v>0</v>
      </c>
      <c r="CQ16" s="31">
        <v>0</v>
      </c>
      <c r="CR16" s="31">
        <v>0</v>
      </c>
      <c r="CS16" s="2">
        <f t="shared" si="36"/>
        <v>0</v>
      </c>
      <c r="CT16" s="31">
        <v>0</v>
      </c>
      <c r="CU16" s="31">
        <v>0</v>
      </c>
      <c r="CV16" s="2">
        <f t="shared" si="37"/>
        <v>0</v>
      </c>
      <c r="CW16" s="28">
        <f t="shared" si="68"/>
        <v>10</v>
      </c>
      <c r="CX16" s="28">
        <f t="shared" si="69"/>
        <v>1</v>
      </c>
      <c r="CY16" s="2">
        <f t="shared" si="39"/>
        <v>11</v>
      </c>
      <c r="CZ16" s="28">
        <f t="shared" si="70"/>
        <v>0</v>
      </c>
      <c r="DA16" s="28">
        <f t="shared" si="71"/>
        <v>1</v>
      </c>
      <c r="DB16" s="2">
        <f t="shared" si="41"/>
        <v>1</v>
      </c>
      <c r="DC16" s="28">
        <f t="shared" si="72"/>
        <v>1</v>
      </c>
      <c r="DD16" s="28">
        <f t="shared" si="73"/>
        <v>0</v>
      </c>
      <c r="DE16" s="2">
        <f t="shared" si="43"/>
        <v>1</v>
      </c>
      <c r="DF16" s="28">
        <f t="shared" si="44"/>
        <v>100</v>
      </c>
      <c r="DG16" s="28">
        <f t="shared" si="45"/>
        <v>100</v>
      </c>
      <c r="DH16" s="28">
        <f t="shared" si="46"/>
        <v>100</v>
      </c>
      <c r="DI16" s="28" t="e">
        <f t="shared" si="47"/>
        <v>#DIV/0!</v>
      </c>
      <c r="DJ16" s="28">
        <f t="shared" si="48"/>
        <v>100</v>
      </c>
      <c r="DK16" s="28">
        <f t="shared" si="49"/>
        <v>100</v>
      </c>
      <c r="DL16" s="28">
        <f t="shared" si="50"/>
        <v>100</v>
      </c>
      <c r="DM16" s="28" t="e">
        <f t="shared" si="51"/>
        <v>#DIV/0!</v>
      </c>
      <c r="DN16" s="28">
        <f t="shared" si="52"/>
        <v>100</v>
      </c>
      <c r="DO16" s="32">
        <v>0</v>
      </c>
      <c r="DP16" s="32">
        <v>0</v>
      </c>
      <c r="DQ16" s="2">
        <f t="shared" si="53"/>
        <v>0</v>
      </c>
      <c r="DR16" s="37">
        <v>0</v>
      </c>
      <c r="DS16" s="37">
        <v>0</v>
      </c>
      <c r="DT16" s="2">
        <f t="shared" si="54"/>
        <v>0</v>
      </c>
      <c r="DU16" s="32">
        <v>0</v>
      </c>
      <c r="DV16" s="32">
        <v>0</v>
      </c>
      <c r="DW16" s="2">
        <f t="shared" si="55"/>
        <v>0</v>
      </c>
      <c r="DX16" s="32">
        <v>10</v>
      </c>
      <c r="DY16" s="32">
        <v>1</v>
      </c>
      <c r="DZ16" s="2">
        <f t="shared" si="56"/>
        <v>11</v>
      </c>
      <c r="EA16" s="38">
        <v>0</v>
      </c>
      <c r="EB16" s="38">
        <v>1</v>
      </c>
      <c r="EC16" s="2">
        <f t="shared" si="57"/>
        <v>1</v>
      </c>
      <c r="ED16" s="32">
        <v>1</v>
      </c>
      <c r="EE16" s="32">
        <v>0</v>
      </c>
      <c r="EF16" s="2">
        <f t="shared" si="58"/>
        <v>1</v>
      </c>
      <c r="EG16" s="4">
        <f t="shared" si="59"/>
        <v>0</v>
      </c>
      <c r="EH16" s="4">
        <f t="shared" si="60"/>
        <v>0</v>
      </c>
      <c r="EI16" s="4">
        <f t="shared" si="61"/>
        <v>-708</v>
      </c>
      <c r="EJ16" s="4">
        <f t="shared" si="62"/>
        <v>-84</v>
      </c>
      <c r="EK16" s="4">
        <f t="shared" si="63"/>
        <v>-278</v>
      </c>
    </row>
    <row r="17" spans="1:142" s="34" customFormat="1" ht="32.25" customHeight="1" x14ac:dyDescent="0.25">
      <c r="A17" s="51">
        <v>35</v>
      </c>
      <c r="B17" s="45" t="s">
        <v>58</v>
      </c>
      <c r="C17" s="46" t="s">
        <v>59</v>
      </c>
      <c r="D17" s="64">
        <v>42780</v>
      </c>
      <c r="E17" s="64">
        <v>42795</v>
      </c>
      <c r="F17" s="64">
        <v>42933</v>
      </c>
      <c r="G17" s="64">
        <v>42935</v>
      </c>
      <c r="H17" s="46">
        <v>1</v>
      </c>
      <c r="I17" s="46">
        <v>5</v>
      </c>
      <c r="J17" s="46">
        <v>31</v>
      </c>
      <c r="K17" s="46">
        <f t="shared" si="0"/>
        <v>37</v>
      </c>
      <c r="L17" s="46">
        <v>6</v>
      </c>
      <c r="M17" s="46">
        <v>196</v>
      </c>
      <c r="N17" s="46">
        <v>561</v>
      </c>
      <c r="O17" s="46">
        <f t="shared" si="1"/>
        <v>763</v>
      </c>
      <c r="P17" s="46">
        <v>6</v>
      </c>
      <c r="Q17" s="46">
        <v>196</v>
      </c>
      <c r="R17" s="46">
        <v>517</v>
      </c>
      <c r="S17" s="46">
        <f t="shared" si="2"/>
        <v>719</v>
      </c>
      <c r="T17" s="46">
        <f t="shared" si="3"/>
        <v>94.23</v>
      </c>
      <c r="U17" s="46">
        <v>0</v>
      </c>
      <c r="V17" s="46">
        <v>0</v>
      </c>
      <c r="W17" s="46">
        <v>0</v>
      </c>
      <c r="X17" s="46">
        <v>1</v>
      </c>
      <c r="Y17" s="46">
        <v>218</v>
      </c>
      <c r="Z17" s="46">
        <v>386</v>
      </c>
      <c r="AA17" s="46">
        <v>114</v>
      </c>
      <c r="AB17" s="47">
        <f t="shared" si="4"/>
        <v>-682</v>
      </c>
      <c r="AC17" s="46">
        <v>440</v>
      </c>
      <c r="AD17" s="46">
        <v>312</v>
      </c>
      <c r="AE17" s="46">
        <f t="shared" si="5"/>
        <v>752</v>
      </c>
      <c r="AF17" s="46">
        <v>38</v>
      </c>
      <c r="AG17" s="46">
        <v>50</v>
      </c>
      <c r="AH17" s="46">
        <f t="shared" si="6"/>
        <v>88</v>
      </c>
      <c r="AI17" s="46">
        <v>179</v>
      </c>
      <c r="AJ17" s="46">
        <v>106</v>
      </c>
      <c r="AK17" s="46">
        <f t="shared" si="7"/>
        <v>285</v>
      </c>
      <c r="AL17" s="46">
        <v>399</v>
      </c>
      <c r="AM17" s="46">
        <v>297</v>
      </c>
      <c r="AN17" s="46">
        <f t="shared" si="8"/>
        <v>696</v>
      </c>
      <c r="AO17" s="46">
        <v>35</v>
      </c>
      <c r="AP17" s="46">
        <v>46</v>
      </c>
      <c r="AQ17" s="46">
        <f t="shared" si="9"/>
        <v>81</v>
      </c>
      <c r="AR17" s="46">
        <v>174</v>
      </c>
      <c r="AS17" s="46">
        <v>102</v>
      </c>
      <c r="AT17" s="46">
        <f t="shared" si="10"/>
        <v>276</v>
      </c>
      <c r="AU17" s="46">
        <v>10</v>
      </c>
      <c r="AV17" s="46">
        <v>2</v>
      </c>
      <c r="AW17" s="46">
        <f t="shared" si="11"/>
        <v>12</v>
      </c>
      <c r="AX17" s="46">
        <v>1</v>
      </c>
      <c r="AY17" s="46">
        <v>2</v>
      </c>
      <c r="AZ17" s="46">
        <f t="shared" si="12"/>
        <v>3</v>
      </c>
      <c r="BA17" s="46">
        <v>1</v>
      </c>
      <c r="BB17" s="46">
        <v>1</v>
      </c>
      <c r="BC17" s="46">
        <f t="shared" si="13"/>
        <v>2</v>
      </c>
      <c r="BD17" s="46">
        <f t="shared" si="75"/>
        <v>409</v>
      </c>
      <c r="BE17" s="46">
        <f t="shared" si="74"/>
        <v>299</v>
      </c>
      <c r="BF17" s="46">
        <f t="shared" si="15"/>
        <v>708</v>
      </c>
      <c r="BG17" s="46">
        <f t="shared" si="64"/>
        <v>36</v>
      </c>
      <c r="BH17" s="46">
        <f t="shared" si="65"/>
        <v>48</v>
      </c>
      <c r="BI17" s="46">
        <f t="shared" si="17"/>
        <v>84</v>
      </c>
      <c r="BJ17" s="46">
        <f t="shared" si="66"/>
        <v>175</v>
      </c>
      <c r="BK17" s="46">
        <f t="shared" si="67"/>
        <v>103</v>
      </c>
      <c r="BL17" s="46">
        <f t="shared" si="19"/>
        <v>278</v>
      </c>
      <c r="BM17" s="46">
        <f t="shared" si="20"/>
        <v>92.95</v>
      </c>
      <c r="BN17" s="46">
        <f t="shared" si="21"/>
        <v>95.83</v>
      </c>
      <c r="BO17" s="46">
        <f t="shared" si="22"/>
        <v>94.15</v>
      </c>
      <c r="BP17" s="46">
        <f t="shared" si="23"/>
        <v>94.74</v>
      </c>
      <c r="BQ17" s="46">
        <f t="shared" si="24"/>
        <v>96</v>
      </c>
      <c r="BR17" s="46">
        <f t="shared" si="25"/>
        <v>95.45</v>
      </c>
      <c r="BS17" s="46">
        <f t="shared" si="26"/>
        <v>97.77</v>
      </c>
      <c r="BT17" s="46">
        <f t="shared" si="27"/>
        <v>97.17</v>
      </c>
      <c r="BU17" s="46">
        <f t="shared" si="28"/>
        <v>97.54</v>
      </c>
      <c r="BV17" s="46">
        <v>10</v>
      </c>
      <c r="BW17" s="46">
        <v>1</v>
      </c>
      <c r="BX17" s="46">
        <f t="shared" si="29"/>
        <v>11</v>
      </c>
      <c r="BY17" s="46">
        <v>0</v>
      </c>
      <c r="BZ17" s="46">
        <v>1</v>
      </c>
      <c r="CA17" s="46">
        <f t="shared" si="76"/>
        <v>1</v>
      </c>
      <c r="CB17" s="46">
        <v>1</v>
      </c>
      <c r="CC17" s="46">
        <v>0</v>
      </c>
      <c r="CD17" s="46">
        <f t="shared" si="31"/>
        <v>1</v>
      </c>
      <c r="CE17" s="46">
        <v>10</v>
      </c>
      <c r="CF17" s="46">
        <v>1</v>
      </c>
      <c r="CG17" s="46">
        <f t="shared" si="77"/>
        <v>11</v>
      </c>
      <c r="CH17" s="46">
        <v>0</v>
      </c>
      <c r="CI17" s="46">
        <v>1</v>
      </c>
      <c r="CJ17" s="46">
        <f t="shared" si="33"/>
        <v>1</v>
      </c>
      <c r="CK17" s="46">
        <v>1</v>
      </c>
      <c r="CL17" s="46">
        <v>0</v>
      </c>
      <c r="CM17" s="46">
        <f t="shared" si="34"/>
        <v>1</v>
      </c>
      <c r="CN17" s="46">
        <v>0</v>
      </c>
      <c r="CO17" s="46">
        <v>0</v>
      </c>
      <c r="CP17" s="46">
        <f t="shared" si="35"/>
        <v>0</v>
      </c>
      <c r="CQ17" s="46">
        <v>0</v>
      </c>
      <c r="CR17" s="46">
        <v>0</v>
      </c>
      <c r="CS17" s="46">
        <f t="shared" si="36"/>
        <v>0</v>
      </c>
      <c r="CT17" s="46">
        <v>0</v>
      </c>
      <c r="CU17" s="46">
        <v>0</v>
      </c>
      <c r="CV17" s="46">
        <f t="shared" si="37"/>
        <v>0</v>
      </c>
      <c r="CW17" s="46">
        <f t="shared" si="68"/>
        <v>10</v>
      </c>
      <c r="CX17" s="46">
        <f t="shared" si="69"/>
        <v>1</v>
      </c>
      <c r="CY17" s="46">
        <f t="shared" si="39"/>
        <v>11</v>
      </c>
      <c r="CZ17" s="46">
        <f t="shared" si="70"/>
        <v>0</v>
      </c>
      <c r="DA17" s="46">
        <f t="shared" si="71"/>
        <v>1</v>
      </c>
      <c r="DB17" s="46">
        <f t="shared" si="41"/>
        <v>1</v>
      </c>
      <c r="DC17" s="46">
        <f t="shared" si="72"/>
        <v>1</v>
      </c>
      <c r="DD17" s="46">
        <f t="shared" si="73"/>
        <v>0</v>
      </c>
      <c r="DE17" s="46">
        <f t="shared" si="43"/>
        <v>1</v>
      </c>
      <c r="DF17" s="46">
        <f t="shared" si="44"/>
        <v>100</v>
      </c>
      <c r="DG17" s="46">
        <f t="shared" si="45"/>
        <v>100</v>
      </c>
      <c r="DH17" s="46">
        <f t="shared" si="46"/>
        <v>100</v>
      </c>
      <c r="DI17" s="46" t="e">
        <f t="shared" si="47"/>
        <v>#DIV/0!</v>
      </c>
      <c r="DJ17" s="46">
        <f t="shared" si="48"/>
        <v>100</v>
      </c>
      <c r="DK17" s="46">
        <f t="shared" si="49"/>
        <v>100</v>
      </c>
      <c r="DL17" s="46">
        <f t="shared" si="50"/>
        <v>100</v>
      </c>
      <c r="DM17" s="46" t="e">
        <f t="shared" si="51"/>
        <v>#DIV/0!</v>
      </c>
      <c r="DN17" s="46">
        <f t="shared" si="52"/>
        <v>100</v>
      </c>
      <c r="DO17" s="46">
        <v>0</v>
      </c>
      <c r="DP17" s="46">
        <v>0</v>
      </c>
      <c r="DQ17" s="46">
        <f t="shared" si="53"/>
        <v>0</v>
      </c>
      <c r="DR17" s="46">
        <v>0</v>
      </c>
      <c r="DS17" s="46">
        <v>0</v>
      </c>
      <c r="DT17" s="46">
        <f t="shared" si="54"/>
        <v>0</v>
      </c>
      <c r="DU17" s="46">
        <v>0</v>
      </c>
      <c r="DV17" s="46">
        <v>0</v>
      </c>
      <c r="DW17" s="46">
        <f t="shared" si="55"/>
        <v>0</v>
      </c>
      <c r="DX17" s="46">
        <v>10</v>
      </c>
      <c r="DY17" s="46">
        <v>1</v>
      </c>
      <c r="DZ17" s="46">
        <f t="shared" si="56"/>
        <v>11</v>
      </c>
      <c r="EA17" s="46">
        <v>0</v>
      </c>
      <c r="EB17" s="46">
        <v>1</v>
      </c>
      <c r="EC17" s="46">
        <f t="shared" si="57"/>
        <v>1</v>
      </c>
      <c r="ED17" s="46">
        <v>1</v>
      </c>
      <c r="EE17" s="46">
        <v>0</v>
      </c>
      <c r="EF17" s="46">
        <f t="shared" si="58"/>
        <v>1</v>
      </c>
      <c r="EG17" s="46">
        <f t="shared" si="59"/>
        <v>0</v>
      </c>
      <c r="EH17" s="46">
        <f t="shared" si="60"/>
        <v>0</v>
      </c>
      <c r="EI17" s="46">
        <f t="shared" si="61"/>
        <v>-708</v>
      </c>
      <c r="EJ17" s="46">
        <f t="shared" si="62"/>
        <v>-84</v>
      </c>
      <c r="EK17" s="46">
        <f t="shared" si="63"/>
        <v>-278</v>
      </c>
      <c r="EL17" s="3"/>
    </row>
    <row r="18" spans="1:142" s="34" customFormat="1" ht="36.75" customHeight="1" x14ac:dyDescent="0.25">
      <c r="A18" s="49">
        <v>5</v>
      </c>
      <c r="B18" s="35" t="s">
        <v>56</v>
      </c>
      <c r="C18" s="27" t="s">
        <v>57</v>
      </c>
      <c r="D18" s="63">
        <v>42776</v>
      </c>
      <c r="E18" s="63">
        <v>42796</v>
      </c>
      <c r="F18" s="63">
        <v>42908</v>
      </c>
      <c r="G18" s="63">
        <v>42921</v>
      </c>
      <c r="H18" s="6">
        <v>4146</v>
      </c>
      <c r="I18" s="6">
        <v>0</v>
      </c>
      <c r="J18" s="6">
        <v>1822</v>
      </c>
      <c r="K18" s="2">
        <f t="shared" si="0"/>
        <v>5968</v>
      </c>
      <c r="L18" s="6">
        <v>305649</v>
      </c>
      <c r="M18" s="6">
        <v>0</v>
      </c>
      <c r="N18" s="6">
        <v>80700</v>
      </c>
      <c r="O18" s="2">
        <f t="shared" si="1"/>
        <v>386349</v>
      </c>
      <c r="P18" s="6">
        <v>180743</v>
      </c>
      <c r="Q18" s="6"/>
      <c r="R18" s="6">
        <v>58955</v>
      </c>
      <c r="S18" s="2">
        <f t="shared" si="2"/>
        <v>239698</v>
      </c>
      <c r="T18" s="15">
        <f t="shared" si="3"/>
        <v>62.04</v>
      </c>
      <c r="U18" s="6">
        <v>133</v>
      </c>
      <c r="V18" s="6">
        <v>364</v>
      </c>
      <c r="W18" s="6">
        <v>735</v>
      </c>
      <c r="X18" s="6">
        <v>954</v>
      </c>
      <c r="Y18" s="6">
        <v>1138</v>
      </c>
      <c r="Z18" s="6">
        <v>1016</v>
      </c>
      <c r="AA18" s="6">
        <v>1582</v>
      </c>
      <c r="AB18" s="29">
        <f t="shared" si="4"/>
        <v>46</v>
      </c>
      <c r="AC18" s="30">
        <v>178996</v>
      </c>
      <c r="AD18" s="30">
        <v>207353</v>
      </c>
      <c r="AE18" s="2">
        <f t="shared" si="5"/>
        <v>386349</v>
      </c>
      <c r="AF18" s="31">
        <v>26952</v>
      </c>
      <c r="AG18" s="31">
        <v>30817</v>
      </c>
      <c r="AH18" s="2">
        <f t="shared" si="6"/>
        <v>57769</v>
      </c>
      <c r="AI18" s="31">
        <v>49726</v>
      </c>
      <c r="AJ18" s="31">
        <v>60802</v>
      </c>
      <c r="AK18" s="2">
        <f t="shared" si="7"/>
        <v>110528</v>
      </c>
      <c r="AL18" s="30">
        <v>107373</v>
      </c>
      <c r="AM18" s="30">
        <v>128962</v>
      </c>
      <c r="AN18" s="2">
        <f t="shared" si="8"/>
        <v>236335</v>
      </c>
      <c r="AO18" s="31">
        <v>15126</v>
      </c>
      <c r="AP18" s="31">
        <v>17842</v>
      </c>
      <c r="AQ18" s="2">
        <f t="shared" si="9"/>
        <v>32968</v>
      </c>
      <c r="AR18" s="31">
        <v>28783</v>
      </c>
      <c r="AS18" s="31">
        <v>35256</v>
      </c>
      <c r="AT18" s="2">
        <f t="shared" si="10"/>
        <v>64039</v>
      </c>
      <c r="AU18" s="32">
        <v>1587</v>
      </c>
      <c r="AV18" s="32">
        <v>1779</v>
      </c>
      <c r="AW18" s="2">
        <f t="shared" si="11"/>
        <v>3366</v>
      </c>
      <c r="AX18" s="31">
        <v>270</v>
      </c>
      <c r="AY18" s="31">
        <v>297</v>
      </c>
      <c r="AZ18" s="2">
        <f t="shared" si="12"/>
        <v>567</v>
      </c>
      <c r="BA18" s="31">
        <v>367</v>
      </c>
      <c r="BB18" s="31">
        <v>442</v>
      </c>
      <c r="BC18" s="2">
        <f t="shared" si="13"/>
        <v>809</v>
      </c>
      <c r="BD18" s="28">
        <f t="shared" si="75"/>
        <v>108960</v>
      </c>
      <c r="BE18" s="28">
        <f t="shared" si="74"/>
        <v>130741</v>
      </c>
      <c r="BF18" s="2">
        <f t="shared" si="15"/>
        <v>239701</v>
      </c>
      <c r="BG18" s="28">
        <f t="shared" si="64"/>
        <v>15396</v>
      </c>
      <c r="BH18" s="28">
        <f t="shared" si="65"/>
        <v>18139</v>
      </c>
      <c r="BI18" s="2">
        <f t="shared" si="17"/>
        <v>33535</v>
      </c>
      <c r="BJ18" s="28">
        <f t="shared" si="66"/>
        <v>29150</v>
      </c>
      <c r="BK18" s="28">
        <f t="shared" si="67"/>
        <v>35698</v>
      </c>
      <c r="BL18" s="2">
        <f t="shared" si="19"/>
        <v>64848</v>
      </c>
      <c r="BM18" s="28">
        <f t="shared" si="20"/>
        <v>60.87</v>
      </c>
      <c r="BN18" s="28">
        <f t="shared" si="21"/>
        <v>63.05</v>
      </c>
      <c r="BO18" s="28">
        <f t="shared" si="22"/>
        <v>62.04</v>
      </c>
      <c r="BP18" s="28">
        <f t="shared" si="23"/>
        <v>57.12</v>
      </c>
      <c r="BQ18" s="28">
        <f t="shared" si="24"/>
        <v>58.86</v>
      </c>
      <c r="BR18" s="28">
        <f t="shared" si="25"/>
        <v>58.05</v>
      </c>
      <c r="BS18" s="28">
        <f t="shared" si="26"/>
        <v>58.62</v>
      </c>
      <c r="BT18" s="28">
        <f t="shared" si="27"/>
        <v>58.71</v>
      </c>
      <c r="BU18" s="28">
        <f t="shared" si="28"/>
        <v>58.67</v>
      </c>
      <c r="BV18" s="30">
        <v>5912</v>
      </c>
      <c r="BW18" s="30">
        <v>4752</v>
      </c>
      <c r="BX18" s="2">
        <f t="shared" si="29"/>
        <v>10664</v>
      </c>
      <c r="BY18" s="31">
        <v>896</v>
      </c>
      <c r="BZ18" s="31">
        <v>693</v>
      </c>
      <c r="CA18" s="2">
        <f t="shared" si="76"/>
        <v>1589</v>
      </c>
      <c r="CB18" s="31">
        <v>1364</v>
      </c>
      <c r="CC18" s="31">
        <v>1315</v>
      </c>
      <c r="CD18" s="2">
        <f t="shared" si="31"/>
        <v>2679</v>
      </c>
      <c r="CE18" s="30">
        <v>2000</v>
      </c>
      <c r="CF18" s="30">
        <v>1945</v>
      </c>
      <c r="CG18" s="2">
        <f t="shared" si="77"/>
        <v>3945</v>
      </c>
      <c r="CH18" s="31">
        <v>295</v>
      </c>
      <c r="CI18" s="31">
        <v>325</v>
      </c>
      <c r="CJ18" s="2">
        <f t="shared" si="33"/>
        <v>620</v>
      </c>
      <c r="CK18" s="31">
        <v>468</v>
      </c>
      <c r="CL18" s="31">
        <v>496</v>
      </c>
      <c r="CM18" s="2">
        <f t="shared" si="34"/>
        <v>964</v>
      </c>
      <c r="CN18" s="31">
        <v>773</v>
      </c>
      <c r="CO18" s="31">
        <v>639</v>
      </c>
      <c r="CP18" s="2">
        <f t="shared" si="35"/>
        <v>1412</v>
      </c>
      <c r="CQ18" s="31">
        <v>121</v>
      </c>
      <c r="CR18" s="31">
        <v>112</v>
      </c>
      <c r="CS18" s="2">
        <f t="shared" si="36"/>
        <v>233</v>
      </c>
      <c r="CT18" s="31">
        <v>169</v>
      </c>
      <c r="CU18" s="31">
        <v>126</v>
      </c>
      <c r="CV18" s="2">
        <f t="shared" si="37"/>
        <v>295</v>
      </c>
      <c r="CW18" s="28">
        <f t="shared" si="68"/>
        <v>2773</v>
      </c>
      <c r="CX18" s="28">
        <f t="shared" si="69"/>
        <v>2584</v>
      </c>
      <c r="CY18" s="2">
        <f t="shared" si="39"/>
        <v>5357</v>
      </c>
      <c r="CZ18" s="28">
        <f t="shared" si="70"/>
        <v>416</v>
      </c>
      <c r="DA18" s="28">
        <f t="shared" si="71"/>
        <v>437</v>
      </c>
      <c r="DB18" s="2">
        <f t="shared" si="41"/>
        <v>853</v>
      </c>
      <c r="DC18" s="28">
        <f t="shared" si="72"/>
        <v>637</v>
      </c>
      <c r="DD18" s="28">
        <f t="shared" si="73"/>
        <v>622</v>
      </c>
      <c r="DE18" s="2">
        <f t="shared" si="43"/>
        <v>1259</v>
      </c>
      <c r="DF18" s="28">
        <f t="shared" si="44"/>
        <v>46.9</v>
      </c>
      <c r="DG18" s="28">
        <f t="shared" si="45"/>
        <v>54.38</v>
      </c>
      <c r="DH18" s="28">
        <f t="shared" si="46"/>
        <v>50.23</v>
      </c>
      <c r="DI18" s="28">
        <f t="shared" si="47"/>
        <v>46.43</v>
      </c>
      <c r="DJ18" s="28">
        <f t="shared" si="48"/>
        <v>63.06</v>
      </c>
      <c r="DK18" s="28">
        <f t="shared" si="49"/>
        <v>53.68</v>
      </c>
      <c r="DL18" s="28">
        <f t="shared" si="50"/>
        <v>46.7</v>
      </c>
      <c r="DM18" s="28">
        <f t="shared" si="51"/>
        <v>47.3</v>
      </c>
      <c r="DN18" s="28">
        <f t="shared" si="52"/>
        <v>47</v>
      </c>
      <c r="DO18" s="32">
        <v>23202</v>
      </c>
      <c r="DP18" s="32">
        <v>25872</v>
      </c>
      <c r="DQ18" s="2">
        <f t="shared" si="53"/>
        <v>49074</v>
      </c>
      <c r="DR18" s="32">
        <v>3074</v>
      </c>
      <c r="DS18" s="32">
        <v>3154</v>
      </c>
      <c r="DT18" s="2">
        <f t="shared" si="54"/>
        <v>6228</v>
      </c>
      <c r="DU18" s="32">
        <v>4162</v>
      </c>
      <c r="DV18" s="32">
        <v>4396</v>
      </c>
      <c r="DW18" s="2">
        <f t="shared" si="55"/>
        <v>8558</v>
      </c>
      <c r="DX18" s="32">
        <v>84171</v>
      </c>
      <c r="DY18" s="32">
        <v>103090</v>
      </c>
      <c r="DZ18" s="2">
        <f t="shared" si="56"/>
        <v>187261</v>
      </c>
      <c r="EA18" s="32">
        <v>12052</v>
      </c>
      <c r="EB18" s="32">
        <v>14688</v>
      </c>
      <c r="EC18" s="2">
        <f t="shared" si="57"/>
        <v>26740</v>
      </c>
      <c r="ED18" s="32">
        <v>24621</v>
      </c>
      <c r="EE18" s="32">
        <v>30860</v>
      </c>
      <c r="EF18" s="2">
        <f t="shared" si="58"/>
        <v>55481</v>
      </c>
      <c r="EG18" s="4">
        <f t="shared" si="59"/>
        <v>-10664</v>
      </c>
      <c r="EH18" s="4">
        <f t="shared" si="60"/>
        <v>-5360</v>
      </c>
      <c r="EI18" s="4">
        <f t="shared" si="61"/>
        <v>-8723</v>
      </c>
      <c r="EJ18" s="4">
        <f t="shared" si="62"/>
        <v>-1420</v>
      </c>
      <c r="EK18" s="4">
        <f t="shared" si="63"/>
        <v>-2068</v>
      </c>
    </row>
    <row r="19" spans="1:142" s="34" customFormat="1" ht="31.5" customHeight="1" x14ac:dyDescent="0.25">
      <c r="A19" s="51">
        <v>22</v>
      </c>
      <c r="B19" s="45" t="s">
        <v>93</v>
      </c>
      <c r="C19" s="48" t="s">
        <v>94</v>
      </c>
      <c r="D19" s="64">
        <v>43013</v>
      </c>
      <c r="E19" s="64">
        <v>43020</v>
      </c>
      <c r="F19" s="65" t="s">
        <v>75</v>
      </c>
      <c r="G19" s="65" t="s">
        <v>75</v>
      </c>
      <c r="H19" s="46">
        <v>0</v>
      </c>
      <c r="I19" s="46">
        <v>0</v>
      </c>
      <c r="J19" s="46">
        <v>0</v>
      </c>
      <c r="K19" s="2">
        <f t="shared" si="0"/>
        <v>0</v>
      </c>
      <c r="L19" s="46">
        <v>0</v>
      </c>
      <c r="M19" s="46">
        <v>0</v>
      </c>
      <c r="N19" s="46">
        <v>0</v>
      </c>
      <c r="O19" s="2">
        <f t="shared" si="1"/>
        <v>0</v>
      </c>
      <c r="P19" s="46">
        <v>0</v>
      </c>
      <c r="Q19" s="46">
        <v>0</v>
      </c>
      <c r="R19" s="46">
        <v>0</v>
      </c>
      <c r="S19" s="2">
        <f t="shared" si="2"/>
        <v>0</v>
      </c>
      <c r="T19" s="15" t="e">
        <f t="shared" si="3"/>
        <v>#DIV/0!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7">
        <f t="shared" si="4"/>
        <v>0</v>
      </c>
      <c r="AC19" s="46">
        <v>0</v>
      </c>
      <c r="AD19" s="46">
        <v>0</v>
      </c>
      <c r="AE19" s="46">
        <f t="shared" si="5"/>
        <v>0</v>
      </c>
      <c r="AF19" s="46">
        <v>0</v>
      </c>
      <c r="AG19" s="46">
        <v>0</v>
      </c>
      <c r="AH19" s="46">
        <f t="shared" si="6"/>
        <v>0</v>
      </c>
      <c r="AI19" s="46">
        <v>0</v>
      </c>
      <c r="AJ19" s="46">
        <v>0</v>
      </c>
      <c r="AK19" s="2">
        <f t="shared" si="7"/>
        <v>0</v>
      </c>
      <c r="AL19" s="46">
        <v>0</v>
      </c>
      <c r="AM19" s="46">
        <v>0</v>
      </c>
      <c r="AN19" s="46">
        <f t="shared" si="8"/>
        <v>0</v>
      </c>
      <c r="AO19" s="46">
        <v>0</v>
      </c>
      <c r="AP19" s="46">
        <v>0</v>
      </c>
      <c r="AQ19" s="46">
        <f t="shared" si="9"/>
        <v>0</v>
      </c>
      <c r="AR19" s="46">
        <v>0</v>
      </c>
      <c r="AS19" s="46">
        <v>0</v>
      </c>
      <c r="AT19" s="46">
        <f t="shared" si="10"/>
        <v>0</v>
      </c>
      <c r="AU19" s="46">
        <v>0</v>
      </c>
      <c r="AV19" s="46">
        <v>0</v>
      </c>
      <c r="AW19" s="46">
        <f t="shared" si="11"/>
        <v>0</v>
      </c>
      <c r="AX19" s="46">
        <v>0</v>
      </c>
      <c r="AY19" s="46">
        <v>0</v>
      </c>
      <c r="AZ19" s="2">
        <f t="shared" si="12"/>
        <v>0</v>
      </c>
      <c r="BA19" s="46">
        <v>0</v>
      </c>
      <c r="BB19" s="46">
        <v>0</v>
      </c>
      <c r="BC19" s="46">
        <f t="shared" si="13"/>
        <v>0</v>
      </c>
      <c r="BD19" s="46">
        <f t="shared" si="75"/>
        <v>0</v>
      </c>
      <c r="BE19" s="46">
        <f t="shared" si="74"/>
        <v>0</v>
      </c>
      <c r="BF19" s="46">
        <f t="shared" si="15"/>
        <v>0</v>
      </c>
      <c r="BG19" s="46">
        <f t="shared" si="64"/>
        <v>0</v>
      </c>
      <c r="BH19" s="46">
        <f t="shared" si="65"/>
        <v>0</v>
      </c>
      <c r="BI19" s="46">
        <f t="shared" si="17"/>
        <v>0</v>
      </c>
      <c r="BJ19" s="46">
        <f t="shared" si="66"/>
        <v>0</v>
      </c>
      <c r="BK19" s="46">
        <f t="shared" si="67"/>
        <v>0</v>
      </c>
      <c r="BL19" s="46">
        <f t="shared" si="19"/>
        <v>0</v>
      </c>
      <c r="BM19" s="46" t="e">
        <f t="shared" si="20"/>
        <v>#DIV/0!</v>
      </c>
      <c r="BN19" s="46" t="e">
        <f t="shared" si="21"/>
        <v>#DIV/0!</v>
      </c>
      <c r="BO19" s="46" t="e">
        <f t="shared" si="22"/>
        <v>#DIV/0!</v>
      </c>
      <c r="BP19" s="46" t="e">
        <f t="shared" si="23"/>
        <v>#DIV/0!</v>
      </c>
      <c r="BQ19" s="46" t="e">
        <f t="shared" si="24"/>
        <v>#DIV/0!</v>
      </c>
      <c r="BR19" s="46" t="e">
        <f t="shared" si="25"/>
        <v>#DIV/0!</v>
      </c>
      <c r="BS19" s="46" t="e">
        <f t="shared" si="26"/>
        <v>#DIV/0!</v>
      </c>
      <c r="BT19" s="46" t="e">
        <f t="shared" si="27"/>
        <v>#DIV/0!</v>
      </c>
      <c r="BU19" s="46" t="e">
        <f t="shared" si="28"/>
        <v>#DIV/0!</v>
      </c>
      <c r="BV19" s="46">
        <v>111</v>
      </c>
      <c r="BW19" s="46">
        <v>69</v>
      </c>
      <c r="BX19" s="46">
        <f t="shared" si="29"/>
        <v>180</v>
      </c>
      <c r="BY19" s="46">
        <v>0</v>
      </c>
      <c r="BZ19" s="46">
        <v>0</v>
      </c>
      <c r="CA19" s="2">
        <f t="shared" si="76"/>
        <v>0</v>
      </c>
      <c r="CB19" s="46">
        <v>0</v>
      </c>
      <c r="CC19" s="46">
        <v>0</v>
      </c>
      <c r="CD19" s="2">
        <f t="shared" si="31"/>
        <v>0</v>
      </c>
      <c r="CE19" s="46">
        <v>63</v>
      </c>
      <c r="CF19" s="46">
        <v>59</v>
      </c>
      <c r="CG19" s="46">
        <f t="shared" si="77"/>
        <v>122</v>
      </c>
      <c r="CH19" s="46">
        <v>0</v>
      </c>
      <c r="CI19" s="46">
        <v>0</v>
      </c>
      <c r="CJ19" s="2">
        <f t="shared" si="33"/>
        <v>0</v>
      </c>
      <c r="CK19" s="46">
        <v>0</v>
      </c>
      <c r="CL19" s="46">
        <v>0</v>
      </c>
      <c r="CM19" s="2">
        <f t="shared" si="34"/>
        <v>0</v>
      </c>
      <c r="CN19" s="46">
        <v>25</v>
      </c>
      <c r="CO19" s="46">
        <v>5</v>
      </c>
      <c r="CP19" s="2">
        <f t="shared" si="35"/>
        <v>30</v>
      </c>
      <c r="CQ19" s="46">
        <v>0</v>
      </c>
      <c r="CR19" s="46">
        <v>0</v>
      </c>
      <c r="CS19" s="2">
        <f t="shared" si="36"/>
        <v>0</v>
      </c>
      <c r="CT19" s="46">
        <v>0</v>
      </c>
      <c r="CU19" s="46">
        <v>0</v>
      </c>
      <c r="CV19" s="2">
        <f t="shared" si="37"/>
        <v>0</v>
      </c>
      <c r="CW19" s="46">
        <f t="shared" si="68"/>
        <v>88</v>
      </c>
      <c r="CX19" s="46">
        <f t="shared" si="69"/>
        <v>64</v>
      </c>
      <c r="CY19" s="46">
        <f t="shared" si="39"/>
        <v>152</v>
      </c>
      <c r="CZ19" s="28">
        <f t="shared" si="70"/>
        <v>0</v>
      </c>
      <c r="DA19" s="28">
        <f t="shared" si="71"/>
        <v>0</v>
      </c>
      <c r="DB19" s="2">
        <f t="shared" si="41"/>
        <v>0</v>
      </c>
      <c r="DC19" s="28">
        <f t="shared" si="72"/>
        <v>0</v>
      </c>
      <c r="DD19" s="28">
        <f t="shared" si="73"/>
        <v>0</v>
      </c>
      <c r="DE19" s="2">
        <f t="shared" si="43"/>
        <v>0</v>
      </c>
      <c r="DF19" s="46">
        <f t="shared" si="44"/>
        <v>79.28</v>
      </c>
      <c r="DG19" s="46">
        <f t="shared" si="45"/>
        <v>92.75</v>
      </c>
      <c r="DH19" s="46">
        <f t="shared" si="46"/>
        <v>84.44</v>
      </c>
      <c r="DI19" s="28" t="e">
        <f t="shared" si="47"/>
        <v>#DIV/0!</v>
      </c>
      <c r="DJ19" s="28" t="e">
        <f t="shared" si="48"/>
        <v>#DIV/0!</v>
      </c>
      <c r="DK19" s="28" t="e">
        <f t="shared" si="49"/>
        <v>#DIV/0!</v>
      </c>
      <c r="DL19" s="28" t="e">
        <f t="shared" si="50"/>
        <v>#DIV/0!</v>
      </c>
      <c r="DM19" s="28" t="e">
        <f t="shared" si="51"/>
        <v>#DIV/0!</v>
      </c>
      <c r="DN19" s="28" t="e">
        <f t="shared" si="52"/>
        <v>#DIV/0!</v>
      </c>
      <c r="DO19" s="46">
        <v>0</v>
      </c>
      <c r="DP19" s="46">
        <v>3</v>
      </c>
      <c r="DQ19" s="46">
        <f t="shared" si="53"/>
        <v>3</v>
      </c>
      <c r="DR19" s="46">
        <v>0</v>
      </c>
      <c r="DS19" s="46">
        <v>0</v>
      </c>
      <c r="DT19" s="46">
        <f t="shared" si="54"/>
        <v>0</v>
      </c>
      <c r="DU19" s="46">
        <v>0</v>
      </c>
      <c r="DV19" s="46">
        <v>0</v>
      </c>
      <c r="DW19" s="46">
        <f t="shared" si="55"/>
        <v>0</v>
      </c>
      <c r="DX19" s="46">
        <v>80</v>
      </c>
      <c r="DY19" s="46">
        <v>60</v>
      </c>
      <c r="DZ19" s="2">
        <f t="shared" si="56"/>
        <v>140</v>
      </c>
      <c r="EA19" s="46">
        <v>0</v>
      </c>
      <c r="EB19" s="46">
        <v>0</v>
      </c>
      <c r="EC19" s="2">
        <f t="shared" si="57"/>
        <v>0</v>
      </c>
      <c r="ED19" s="46">
        <v>0</v>
      </c>
      <c r="EE19" s="46">
        <v>0</v>
      </c>
      <c r="EF19" s="2">
        <f t="shared" si="58"/>
        <v>0</v>
      </c>
      <c r="EG19" s="46">
        <f t="shared" si="59"/>
        <v>-180</v>
      </c>
      <c r="EH19" s="46">
        <f t="shared" si="60"/>
        <v>-152</v>
      </c>
      <c r="EI19" s="46">
        <f t="shared" si="61"/>
        <v>-9</v>
      </c>
      <c r="EJ19" s="46">
        <f t="shared" si="62"/>
        <v>0</v>
      </c>
      <c r="EK19" s="46">
        <f t="shared" si="63"/>
        <v>0</v>
      </c>
      <c r="EL19" s="3"/>
    </row>
    <row r="20" spans="1:142" ht="33.75" customHeight="1" x14ac:dyDescent="0.25">
      <c r="A20" s="51">
        <v>25</v>
      </c>
      <c r="B20" s="43" t="s">
        <v>99</v>
      </c>
      <c r="C20" s="48" t="s">
        <v>100</v>
      </c>
      <c r="D20" s="64">
        <v>42804</v>
      </c>
      <c r="E20" s="64">
        <v>42846</v>
      </c>
      <c r="F20" s="65" t="s">
        <v>75</v>
      </c>
      <c r="G20" s="65" t="s">
        <v>75</v>
      </c>
      <c r="H20" s="46">
        <v>9</v>
      </c>
      <c r="I20" s="46">
        <v>8</v>
      </c>
      <c r="J20" s="46">
        <v>2089</v>
      </c>
      <c r="K20" s="46">
        <f t="shared" si="0"/>
        <v>2106</v>
      </c>
      <c r="L20" s="46">
        <v>343</v>
      </c>
      <c r="M20" s="46">
        <v>993</v>
      </c>
      <c r="N20" s="46">
        <v>173963</v>
      </c>
      <c r="O20" s="46">
        <f t="shared" si="1"/>
        <v>175299</v>
      </c>
      <c r="P20" s="46">
        <v>336</v>
      </c>
      <c r="Q20" s="46">
        <v>975</v>
      </c>
      <c r="R20" s="46">
        <v>171421</v>
      </c>
      <c r="S20" s="46">
        <f t="shared" si="2"/>
        <v>172732</v>
      </c>
      <c r="T20" s="46">
        <f t="shared" si="3"/>
        <v>98.54</v>
      </c>
      <c r="U20" s="46">
        <v>1598</v>
      </c>
      <c r="V20" s="46">
        <v>403</v>
      </c>
      <c r="W20" s="46">
        <v>67</v>
      </c>
      <c r="X20" s="46">
        <v>25</v>
      </c>
      <c r="Y20" s="46">
        <v>7</v>
      </c>
      <c r="Z20" s="46">
        <v>5</v>
      </c>
      <c r="AA20" s="46">
        <v>1</v>
      </c>
      <c r="AB20" s="47">
        <f t="shared" si="4"/>
        <v>0</v>
      </c>
      <c r="AC20" s="46">
        <v>96566</v>
      </c>
      <c r="AD20" s="46">
        <v>78428</v>
      </c>
      <c r="AE20" s="46">
        <f t="shared" si="5"/>
        <v>174994</v>
      </c>
      <c r="AF20" s="46">
        <v>4666</v>
      </c>
      <c r="AG20" s="46">
        <v>3537</v>
      </c>
      <c r="AH20" s="46">
        <f t="shared" si="6"/>
        <v>8203</v>
      </c>
      <c r="AI20" s="46">
        <v>3058</v>
      </c>
      <c r="AJ20" s="46">
        <v>2729</v>
      </c>
      <c r="AK20" s="46">
        <f t="shared" si="7"/>
        <v>5787</v>
      </c>
      <c r="AL20" s="46">
        <v>94841</v>
      </c>
      <c r="AM20" s="46">
        <v>77703</v>
      </c>
      <c r="AN20" s="46">
        <f t="shared" si="8"/>
        <v>172544</v>
      </c>
      <c r="AO20" s="46">
        <v>4541</v>
      </c>
      <c r="AP20" s="46">
        <v>3473</v>
      </c>
      <c r="AQ20" s="46">
        <f t="shared" si="9"/>
        <v>8014</v>
      </c>
      <c r="AR20" s="46">
        <v>2972</v>
      </c>
      <c r="AS20" s="46">
        <v>2661</v>
      </c>
      <c r="AT20" s="46">
        <f t="shared" si="10"/>
        <v>5633</v>
      </c>
      <c r="AU20" s="46">
        <v>0</v>
      </c>
      <c r="AV20" s="46">
        <v>0</v>
      </c>
      <c r="AW20" s="46">
        <f t="shared" si="11"/>
        <v>0</v>
      </c>
      <c r="AX20" s="46">
        <v>0</v>
      </c>
      <c r="AY20" s="46">
        <v>0</v>
      </c>
      <c r="AZ20" s="46">
        <f t="shared" si="12"/>
        <v>0</v>
      </c>
      <c r="BA20" s="46">
        <v>0</v>
      </c>
      <c r="BB20" s="46">
        <v>0</v>
      </c>
      <c r="BC20" s="46">
        <f t="shared" si="13"/>
        <v>0</v>
      </c>
      <c r="BD20" s="46">
        <f t="shared" si="75"/>
        <v>94841</v>
      </c>
      <c r="BE20" s="46">
        <f t="shared" si="74"/>
        <v>77703</v>
      </c>
      <c r="BF20" s="46">
        <f t="shared" si="15"/>
        <v>172544</v>
      </c>
      <c r="BG20" s="46">
        <f t="shared" si="64"/>
        <v>4541</v>
      </c>
      <c r="BH20" s="46">
        <f t="shared" si="65"/>
        <v>3473</v>
      </c>
      <c r="BI20" s="46">
        <f t="shared" si="17"/>
        <v>8014</v>
      </c>
      <c r="BJ20" s="46">
        <f t="shared" si="66"/>
        <v>2972</v>
      </c>
      <c r="BK20" s="46">
        <f t="shared" si="67"/>
        <v>2661</v>
      </c>
      <c r="BL20" s="46">
        <f t="shared" si="19"/>
        <v>5633</v>
      </c>
      <c r="BM20" s="46">
        <f t="shared" si="20"/>
        <v>98.21</v>
      </c>
      <c r="BN20" s="46">
        <f t="shared" si="21"/>
        <v>99.08</v>
      </c>
      <c r="BO20" s="46">
        <f t="shared" si="22"/>
        <v>98.6</v>
      </c>
      <c r="BP20" s="46">
        <f t="shared" si="23"/>
        <v>97.32</v>
      </c>
      <c r="BQ20" s="46">
        <f t="shared" si="24"/>
        <v>98.19</v>
      </c>
      <c r="BR20" s="46">
        <f t="shared" si="25"/>
        <v>97.7</v>
      </c>
      <c r="BS20" s="46">
        <f t="shared" si="26"/>
        <v>97.19</v>
      </c>
      <c r="BT20" s="46">
        <f t="shared" si="27"/>
        <v>97.51</v>
      </c>
      <c r="BU20" s="46">
        <f t="shared" si="28"/>
        <v>97.34</v>
      </c>
      <c r="BV20" s="46">
        <v>203</v>
      </c>
      <c r="BW20" s="46">
        <v>102</v>
      </c>
      <c r="BX20" s="46">
        <f t="shared" si="29"/>
        <v>305</v>
      </c>
      <c r="BY20" s="46">
        <v>18</v>
      </c>
      <c r="BZ20" s="46">
        <v>7</v>
      </c>
      <c r="CA20" s="46">
        <f t="shared" si="76"/>
        <v>25</v>
      </c>
      <c r="CB20" s="46">
        <v>14</v>
      </c>
      <c r="CC20" s="46">
        <v>9</v>
      </c>
      <c r="CD20" s="46">
        <f t="shared" si="31"/>
        <v>23</v>
      </c>
      <c r="CE20" s="46">
        <v>121</v>
      </c>
      <c r="CF20" s="46">
        <v>67</v>
      </c>
      <c r="CG20" s="46">
        <f t="shared" si="77"/>
        <v>188</v>
      </c>
      <c r="CH20" s="46">
        <v>14</v>
      </c>
      <c r="CI20" s="46">
        <v>6</v>
      </c>
      <c r="CJ20" s="46">
        <f t="shared" si="33"/>
        <v>20</v>
      </c>
      <c r="CK20" s="46">
        <v>6</v>
      </c>
      <c r="CL20" s="46">
        <v>7</v>
      </c>
      <c r="CM20" s="46">
        <f t="shared" si="34"/>
        <v>13</v>
      </c>
      <c r="CN20" s="46">
        <v>0</v>
      </c>
      <c r="CO20" s="46">
        <v>0</v>
      </c>
      <c r="CP20" s="46">
        <f t="shared" si="35"/>
        <v>0</v>
      </c>
      <c r="CQ20" s="46">
        <v>0</v>
      </c>
      <c r="CR20" s="46">
        <v>0</v>
      </c>
      <c r="CS20" s="46">
        <f t="shared" si="36"/>
        <v>0</v>
      </c>
      <c r="CT20" s="46">
        <v>0</v>
      </c>
      <c r="CU20" s="46">
        <v>0</v>
      </c>
      <c r="CV20" s="2">
        <f t="shared" si="37"/>
        <v>0</v>
      </c>
      <c r="CW20" s="46">
        <f t="shared" si="68"/>
        <v>121</v>
      </c>
      <c r="CX20" s="46">
        <f t="shared" si="69"/>
        <v>67</v>
      </c>
      <c r="CY20" s="46">
        <f t="shared" si="39"/>
        <v>188</v>
      </c>
      <c r="CZ20" s="28">
        <f t="shared" si="70"/>
        <v>14</v>
      </c>
      <c r="DA20" s="28">
        <f t="shared" si="71"/>
        <v>6</v>
      </c>
      <c r="DB20" s="2">
        <f t="shared" si="41"/>
        <v>20</v>
      </c>
      <c r="DC20" s="28">
        <f t="shared" si="72"/>
        <v>6</v>
      </c>
      <c r="DD20" s="28">
        <f t="shared" si="73"/>
        <v>7</v>
      </c>
      <c r="DE20" s="2">
        <f t="shared" si="43"/>
        <v>13</v>
      </c>
      <c r="DF20" s="46">
        <f t="shared" si="44"/>
        <v>59.61</v>
      </c>
      <c r="DG20" s="46">
        <f t="shared" si="45"/>
        <v>65.69</v>
      </c>
      <c r="DH20" s="46">
        <f t="shared" si="46"/>
        <v>61.64</v>
      </c>
      <c r="DI20" s="46">
        <f t="shared" si="47"/>
        <v>77.78</v>
      </c>
      <c r="DJ20" s="46">
        <f t="shared" si="48"/>
        <v>85.71</v>
      </c>
      <c r="DK20" s="46">
        <f t="shared" si="49"/>
        <v>80</v>
      </c>
      <c r="DL20" s="28">
        <f t="shared" si="50"/>
        <v>42.86</v>
      </c>
      <c r="DM20" s="28">
        <f t="shared" si="51"/>
        <v>77.78</v>
      </c>
      <c r="DN20" s="28">
        <f t="shared" si="52"/>
        <v>56.52</v>
      </c>
      <c r="DO20" s="46">
        <v>83269</v>
      </c>
      <c r="DP20" s="46">
        <v>71783</v>
      </c>
      <c r="DQ20" s="46">
        <f t="shared" si="53"/>
        <v>155052</v>
      </c>
      <c r="DR20" s="46">
        <v>3732</v>
      </c>
      <c r="DS20" s="46">
        <v>2965</v>
      </c>
      <c r="DT20" s="46">
        <f t="shared" si="54"/>
        <v>6697</v>
      </c>
      <c r="DU20" s="46">
        <v>2150</v>
      </c>
      <c r="DV20" s="46">
        <v>2173</v>
      </c>
      <c r="DW20" s="46">
        <f t="shared" si="55"/>
        <v>4323</v>
      </c>
      <c r="DX20" s="46">
        <v>11693</v>
      </c>
      <c r="DY20" s="46">
        <v>5987</v>
      </c>
      <c r="DZ20" s="46">
        <f t="shared" si="56"/>
        <v>17680</v>
      </c>
      <c r="EA20" s="46">
        <v>823</v>
      </c>
      <c r="EB20" s="46">
        <v>514</v>
      </c>
      <c r="EC20" s="46">
        <f t="shared" si="57"/>
        <v>1337</v>
      </c>
      <c r="ED20" s="46">
        <v>828</v>
      </c>
      <c r="EE20" s="46">
        <v>495</v>
      </c>
      <c r="EF20" s="46">
        <f t="shared" si="58"/>
        <v>1323</v>
      </c>
      <c r="EG20" s="46">
        <f t="shared" si="59"/>
        <v>0</v>
      </c>
      <c r="EH20" s="46">
        <f t="shared" si="60"/>
        <v>0</v>
      </c>
      <c r="EI20" s="46">
        <f t="shared" si="61"/>
        <v>0</v>
      </c>
      <c r="EJ20" s="46">
        <f t="shared" si="62"/>
        <v>0</v>
      </c>
      <c r="EK20" s="46">
        <f t="shared" si="63"/>
        <v>0</v>
      </c>
    </row>
    <row r="21" spans="1:142" ht="29.25" customHeight="1" x14ac:dyDescent="0.25">
      <c r="A21" s="52">
        <v>21</v>
      </c>
      <c r="B21" s="45" t="s">
        <v>91</v>
      </c>
      <c r="C21" s="48" t="s">
        <v>92</v>
      </c>
      <c r="D21" s="64">
        <v>42808</v>
      </c>
      <c r="E21" s="64">
        <v>42824</v>
      </c>
      <c r="F21" s="64">
        <v>42891</v>
      </c>
      <c r="G21" s="64">
        <v>42905</v>
      </c>
      <c r="H21" s="46">
        <v>5560</v>
      </c>
      <c r="I21" s="46">
        <v>230</v>
      </c>
      <c r="J21" s="46">
        <v>5420</v>
      </c>
      <c r="K21" s="2">
        <f t="shared" si="0"/>
        <v>11210</v>
      </c>
      <c r="L21" s="46">
        <v>256305</v>
      </c>
      <c r="M21" s="46">
        <v>11357</v>
      </c>
      <c r="N21" s="46">
        <v>240276</v>
      </c>
      <c r="O21" s="2">
        <f t="shared" si="1"/>
        <v>507938</v>
      </c>
      <c r="P21" s="46">
        <v>207122</v>
      </c>
      <c r="Q21" s="46">
        <v>9029</v>
      </c>
      <c r="R21" s="46">
        <v>211263</v>
      </c>
      <c r="S21" s="2">
        <f t="shared" si="2"/>
        <v>427414</v>
      </c>
      <c r="T21" s="15">
        <f t="shared" si="3"/>
        <v>84.15</v>
      </c>
      <c r="U21" s="46">
        <v>2005</v>
      </c>
      <c r="V21" s="46">
        <v>5369</v>
      </c>
      <c r="W21" s="46">
        <v>2282</v>
      </c>
      <c r="X21" s="46">
        <v>1521</v>
      </c>
      <c r="Y21" s="46">
        <v>936</v>
      </c>
      <c r="Z21" s="46">
        <v>709</v>
      </c>
      <c r="AA21" s="46">
        <v>724</v>
      </c>
      <c r="AB21" s="47">
        <f t="shared" si="4"/>
        <v>-2336</v>
      </c>
      <c r="AC21" s="46">
        <v>257095</v>
      </c>
      <c r="AD21" s="46">
        <v>250843</v>
      </c>
      <c r="AE21" s="46">
        <f t="shared" si="5"/>
        <v>507938</v>
      </c>
      <c r="AF21" s="46">
        <v>44539</v>
      </c>
      <c r="AG21" s="46">
        <v>45083</v>
      </c>
      <c r="AH21" s="46">
        <f t="shared" si="6"/>
        <v>89622</v>
      </c>
      <c r="AI21" s="46">
        <v>25213</v>
      </c>
      <c r="AJ21" s="46">
        <v>24041</v>
      </c>
      <c r="AK21" s="2">
        <f t="shared" si="7"/>
        <v>49254</v>
      </c>
      <c r="AL21" s="46">
        <v>213264</v>
      </c>
      <c r="AM21" s="46">
        <v>214150</v>
      </c>
      <c r="AN21" s="46">
        <f t="shared" si="8"/>
        <v>427414</v>
      </c>
      <c r="AO21" s="46">
        <v>35489</v>
      </c>
      <c r="AP21" s="46">
        <v>37046</v>
      </c>
      <c r="AQ21" s="46">
        <f t="shared" si="9"/>
        <v>72535</v>
      </c>
      <c r="AR21" s="46">
        <v>20652</v>
      </c>
      <c r="AS21" s="46">
        <v>19558</v>
      </c>
      <c r="AT21" s="46">
        <f t="shared" si="10"/>
        <v>40210</v>
      </c>
      <c r="AU21" s="46">
        <v>29122</v>
      </c>
      <c r="AV21" s="46">
        <v>24333</v>
      </c>
      <c r="AW21" s="46">
        <f t="shared" si="11"/>
        <v>53455</v>
      </c>
      <c r="AX21" s="46">
        <v>5852</v>
      </c>
      <c r="AY21" s="46">
        <v>5331</v>
      </c>
      <c r="AZ21" s="2">
        <f t="shared" si="12"/>
        <v>11183</v>
      </c>
      <c r="BA21" s="46">
        <v>2692</v>
      </c>
      <c r="BB21" s="46">
        <v>2629</v>
      </c>
      <c r="BC21" s="46">
        <f t="shared" si="13"/>
        <v>5321</v>
      </c>
      <c r="BD21" s="46">
        <f t="shared" si="75"/>
        <v>242386</v>
      </c>
      <c r="BE21" s="46">
        <f t="shared" si="74"/>
        <v>238483</v>
      </c>
      <c r="BF21" s="46">
        <f t="shared" si="15"/>
        <v>480869</v>
      </c>
      <c r="BG21" s="46">
        <f t="shared" si="64"/>
        <v>41341</v>
      </c>
      <c r="BH21" s="46">
        <f t="shared" si="65"/>
        <v>42377</v>
      </c>
      <c r="BI21" s="46">
        <f t="shared" si="17"/>
        <v>83718</v>
      </c>
      <c r="BJ21" s="46">
        <f t="shared" si="66"/>
        <v>23344</v>
      </c>
      <c r="BK21" s="46">
        <f t="shared" si="67"/>
        <v>22187</v>
      </c>
      <c r="BL21" s="46">
        <f t="shared" si="19"/>
        <v>45531</v>
      </c>
      <c r="BM21" s="46">
        <f t="shared" si="20"/>
        <v>94.28</v>
      </c>
      <c r="BN21" s="46">
        <f t="shared" si="21"/>
        <v>95.07</v>
      </c>
      <c r="BO21" s="46">
        <f t="shared" si="22"/>
        <v>94.67</v>
      </c>
      <c r="BP21" s="46">
        <f t="shared" si="23"/>
        <v>92.82</v>
      </c>
      <c r="BQ21" s="46">
        <f t="shared" si="24"/>
        <v>94</v>
      </c>
      <c r="BR21" s="46">
        <f t="shared" si="25"/>
        <v>93.41</v>
      </c>
      <c r="BS21" s="46">
        <f t="shared" si="26"/>
        <v>92.59</v>
      </c>
      <c r="BT21" s="46">
        <f t="shared" si="27"/>
        <v>92.29</v>
      </c>
      <c r="BU21" s="46">
        <f t="shared" si="28"/>
        <v>92.44</v>
      </c>
      <c r="BV21" s="46">
        <v>55114</v>
      </c>
      <c r="BW21" s="46">
        <v>43428</v>
      </c>
      <c r="BX21" s="46">
        <f t="shared" si="29"/>
        <v>98542</v>
      </c>
      <c r="BY21" s="46">
        <v>11243</v>
      </c>
      <c r="BZ21" s="46">
        <v>9427</v>
      </c>
      <c r="CA21" s="2">
        <f t="shared" si="76"/>
        <v>20670</v>
      </c>
      <c r="CB21" s="46">
        <v>5501</v>
      </c>
      <c r="CC21" s="46">
        <v>5197</v>
      </c>
      <c r="CD21" s="2">
        <f t="shared" si="31"/>
        <v>10698</v>
      </c>
      <c r="CE21" s="46">
        <v>29122</v>
      </c>
      <c r="CF21" s="46">
        <v>24333</v>
      </c>
      <c r="CG21" s="46">
        <f t="shared" si="77"/>
        <v>53455</v>
      </c>
      <c r="CH21" s="46">
        <v>5852</v>
      </c>
      <c r="CI21" s="46">
        <v>5331</v>
      </c>
      <c r="CJ21" s="2">
        <f t="shared" si="33"/>
        <v>11183</v>
      </c>
      <c r="CK21" s="46">
        <v>2692</v>
      </c>
      <c r="CL21" s="46">
        <v>2629</v>
      </c>
      <c r="CM21" s="2">
        <f t="shared" si="34"/>
        <v>5321</v>
      </c>
      <c r="CN21" s="46">
        <v>0</v>
      </c>
      <c r="CO21" s="46">
        <v>0</v>
      </c>
      <c r="CP21" s="2">
        <f t="shared" si="35"/>
        <v>0</v>
      </c>
      <c r="CQ21" s="46">
        <v>0</v>
      </c>
      <c r="CR21" s="46">
        <v>0</v>
      </c>
      <c r="CS21" s="2">
        <f t="shared" si="36"/>
        <v>0</v>
      </c>
      <c r="CT21" s="46">
        <v>0</v>
      </c>
      <c r="CU21" s="46">
        <v>0</v>
      </c>
      <c r="CV21" s="2">
        <f t="shared" si="37"/>
        <v>0</v>
      </c>
      <c r="CW21" s="46">
        <f t="shared" si="68"/>
        <v>29122</v>
      </c>
      <c r="CX21" s="46">
        <f t="shared" si="69"/>
        <v>24333</v>
      </c>
      <c r="CY21" s="46">
        <f t="shared" si="39"/>
        <v>53455</v>
      </c>
      <c r="CZ21" s="28">
        <f t="shared" si="70"/>
        <v>5852</v>
      </c>
      <c r="DA21" s="28">
        <f t="shared" si="71"/>
        <v>5331</v>
      </c>
      <c r="DB21" s="2">
        <f t="shared" si="41"/>
        <v>11183</v>
      </c>
      <c r="DC21" s="28">
        <f t="shared" si="72"/>
        <v>2692</v>
      </c>
      <c r="DD21" s="28">
        <f t="shared" si="73"/>
        <v>2629</v>
      </c>
      <c r="DE21" s="2">
        <f t="shared" si="43"/>
        <v>5321</v>
      </c>
      <c r="DF21" s="28">
        <f t="shared" si="44"/>
        <v>52.84</v>
      </c>
      <c r="DG21" s="28">
        <f t="shared" si="45"/>
        <v>56.03</v>
      </c>
      <c r="DH21" s="28">
        <f t="shared" si="46"/>
        <v>54.25</v>
      </c>
      <c r="DI21" s="28">
        <f t="shared" si="47"/>
        <v>52.05</v>
      </c>
      <c r="DJ21" s="28">
        <f t="shared" si="48"/>
        <v>56.55</v>
      </c>
      <c r="DK21" s="28">
        <f t="shared" si="49"/>
        <v>54.1</v>
      </c>
      <c r="DL21" s="28">
        <f t="shared" si="50"/>
        <v>48.94</v>
      </c>
      <c r="DM21" s="28">
        <f t="shared" si="51"/>
        <v>50.59</v>
      </c>
      <c r="DN21" s="28">
        <f t="shared" si="52"/>
        <v>49.74</v>
      </c>
      <c r="DO21" s="46">
        <v>0</v>
      </c>
      <c r="DP21" s="46">
        <v>0</v>
      </c>
      <c r="DQ21" s="46">
        <f t="shared" si="53"/>
        <v>0</v>
      </c>
      <c r="DR21" s="46">
        <v>0</v>
      </c>
      <c r="DS21" s="46">
        <v>0</v>
      </c>
      <c r="DT21" s="46">
        <f t="shared" si="54"/>
        <v>0</v>
      </c>
      <c r="DU21" s="46">
        <v>0</v>
      </c>
      <c r="DV21" s="46">
        <v>0</v>
      </c>
      <c r="DW21" s="46">
        <f t="shared" si="55"/>
        <v>0</v>
      </c>
      <c r="DX21" s="46">
        <v>0</v>
      </c>
      <c r="DY21" s="46">
        <v>0</v>
      </c>
      <c r="DZ21" s="2">
        <f t="shared" si="56"/>
        <v>0</v>
      </c>
      <c r="EA21" s="46">
        <v>0</v>
      </c>
      <c r="EB21" s="46">
        <v>0</v>
      </c>
      <c r="EC21" s="2">
        <f t="shared" si="57"/>
        <v>0</v>
      </c>
      <c r="ED21" s="46">
        <v>0</v>
      </c>
      <c r="EE21" s="46">
        <v>0</v>
      </c>
      <c r="EF21" s="2">
        <f t="shared" si="58"/>
        <v>0</v>
      </c>
      <c r="EG21" s="46">
        <f t="shared" si="59"/>
        <v>-98542</v>
      </c>
      <c r="EH21" s="46">
        <f t="shared" si="60"/>
        <v>-106910</v>
      </c>
      <c r="EI21" s="46">
        <f t="shared" si="61"/>
        <v>-534324</v>
      </c>
      <c r="EJ21" s="46">
        <f t="shared" si="62"/>
        <v>-94901</v>
      </c>
      <c r="EK21" s="46">
        <f t="shared" si="63"/>
        <v>-50852</v>
      </c>
    </row>
    <row r="22" spans="1:142" ht="33" customHeight="1" x14ac:dyDescent="0.25">
      <c r="A22" s="79">
        <v>7</v>
      </c>
      <c r="B22" s="35" t="s">
        <v>60</v>
      </c>
      <c r="C22" s="27" t="s">
        <v>61</v>
      </c>
      <c r="D22" s="63">
        <v>42826</v>
      </c>
      <c r="E22" s="63">
        <v>42846</v>
      </c>
      <c r="F22" s="63">
        <v>42905</v>
      </c>
      <c r="G22" s="63">
        <v>42913</v>
      </c>
      <c r="H22" s="6">
        <v>77</v>
      </c>
      <c r="I22" s="6">
        <v>299</v>
      </c>
      <c r="J22" s="6">
        <v>10</v>
      </c>
      <c r="K22" s="2">
        <f t="shared" si="0"/>
        <v>386</v>
      </c>
      <c r="L22" s="6">
        <v>1918</v>
      </c>
      <c r="M22" s="6">
        <v>16687</v>
      </c>
      <c r="N22" s="6">
        <v>157</v>
      </c>
      <c r="O22" s="2">
        <f t="shared" si="1"/>
        <v>18762</v>
      </c>
      <c r="P22" s="6">
        <v>1730</v>
      </c>
      <c r="Q22" s="6">
        <v>15876</v>
      </c>
      <c r="R22" s="6">
        <v>157</v>
      </c>
      <c r="S22" s="2">
        <f t="shared" si="2"/>
        <v>17763</v>
      </c>
      <c r="T22" s="15">
        <f t="shared" si="3"/>
        <v>94.68</v>
      </c>
      <c r="U22" s="6">
        <v>99</v>
      </c>
      <c r="V22" s="6">
        <v>151</v>
      </c>
      <c r="W22" s="6">
        <v>71</v>
      </c>
      <c r="X22" s="6">
        <v>30</v>
      </c>
      <c r="Y22" s="6">
        <v>17</v>
      </c>
      <c r="Z22" s="6">
        <v>9</v>
      </c>
      <c r="AA22" s="6">
        <v>9</v>
      </c>
      <c r="AB22" s="29">
        <f t="shared" si="4"/>
        <v>0</v>
      </c>
      <c r="AC22" s="30">
        <v>9163</v>
      </c>
      <c r="AD22" s="30">
        <v>9599</v>
      </c>
      <c r="AE22" s="2">
        <f t="shared" si="5"/>
        <v>18762</v>
      </c>
      <c r="AF22" s="31">
        <v>108</v>
      </c>
      <c r="AG22" s="31">
        <v>148</v>
      </c>
      <c r="AH22" s="2">
        <f t="shared" si="6"/>
        <v>256</v>
      </c>
      <c r="AI22" s="31">
        <v>1028</v>
      </c>
      <c r="AJ22" s="31">
        <v>1118</v>
      </c>
      <c r="AK22" s="2">
        <f t="shared" si="7"/>
        <v>2146</v>
      </c>
      <c r="AL22" s="30">
        <v>8381</v>
      </c>
      <c r="AM22" s="30">
        <v>8844</v>
      </c>
      <c r="AN22" s="2">
        <f t="shared" si="8"/>
        <v>17225</v>
      </c>
      <c r="AO22" s="31">
        <v>96</v>
      </c>
      <c r="AP22" s="31">
        <v>128</v>
      </c>
      <c r="AQ22" s="2">
        <f t="shared" si="9"/>
        <v>224</v>
      </c>
      <c r="AR22" s="31">
        <v>937</v>
      </c>
      <c r="AS22" s="31">
        <v>1028</v>
      </c>
      <c r="AT22" s="2">
        <f t="shared" si="10"/>
        <v>1965</v>
      </c>
      <c r="AU22" s="31">
        <v>265</v>
      </c>
      <c r="AV22" s="31">
        <v>273</v>
      </c>
      <c r="AW22" s="2">
        <f t="shared" si="11"/>
        <v>538</v>
      </c>
      <c r="AX22" s="31">
        <v>3</v>
      </c>
      <c r="AY22" s="31">
        <v>8</v>
      </c>
      <c r="AZ22" s="2">
        <f t="shared" si="12"/>
        <v>11</v>
      </c>
      <c r="BA22" s="31">
        <v>29</v>
      </c>
      <c r="BB22" s="31">
        <v>39</v>
      </c>
      <c r="BC22" s="2">
        <f t="shared" si="13"/>
        <v>68</v>
      </c>
      <c r="BD22" s="28">
        <f t="shared" si="75"/>
        <v>8646</v>
      </c>
      <c r="BE22" s="28">
        <f t="shared" si="74"/>
        <v>9117</v>
      </c>
      <c r="BF22" s="2">
        <f t="shared" si="15"/>
        <v>17763</v>
      </c>
      <c r="BG22" s="28">
        <f t="shared" si="64"/>
        <v>99</v>
      </c>
      <c r="BH22" s="28">
        <f t="shared" si="65"/>
        <v>136</v>
      </c>
      <c r="BI22" s="2">
        <f t="shared" si="17"/>
        <v>235</v>
      </c>
      <c r="BJ22" s="28">
        <f t="shared" si="66"/>
        <v>966</v>
      </c>
      <c r="BK22" s="28">
        <f t="shared" si="67"/>
        <v>1067</v>
      </c>
      <c r="BL22" s="2">
        <f t="shared" si="19"/>
        <v>2033</v>
      </c>
      <c r="BM22" s="28">
        <f t="shared" si="20"/>
        <v>94.36</v>
      </c>
      <c r="BN22" s="28">
        <f t="shared" si="21"/>
        <v>94.98</v>
      </c>
      <c r="BO22" s="28">
        <f t="shared" si="22"/>
        <v>94.68</v>
      </c>
      <c r="BP22" s="28">
        <f t="shared" si="23"/>
        <v>91.67</v>
      </c>
      <c r="BQ22" s="28">
        <f t="shared" si="24"/>
        <v>91.89</v>
      </c>
      <c r="BR22" s="28">
        <f t="shared" si="25"/>
        <v>91.8</v>
      </c>
      <c r="BS22" s="28">
        <f t="shared" si="26"/>
        <v>93.97</v>
      </c>
      <c r="BT22" s="28">
        <f t="shared" si="27"/>
        <v>95.44</v>
      </c>
      <c r="BU22" s="28">
        <f t="shared" si="28"/>
        <v>94.73</v>
      </c>
      <c r="BV22" s="30">
        <v>363</v>
      </c>
      <c r="BW22" s="30">
        <v>230</v>
      </c>
      <c r="BX22" s="2">
        <f t="shared" si="29"/>
        <v>593</v>
      </c>
      <c r="BY22" s="31">
        <v>13</v>
      </c>
      <c r="BZ22" s="31">
        <v>7</v>
      </c>
      <c r="CA22" s="2">
        <f t="shared" si="76"/>
        <v>20</v>
      </c>
      <c r="CB22" s="31">
        <v>42</v>
      </c>
      <c r="CC22" s="31">
        <v>30</v>
      </c>
      <c r="CD22" s="2">
        <f t="shared" si="31"/>
        <v>72</v>
      </c>
      <c r="CE22" s="30">
        <v>145</v>
      </c>
      <c r="CF22" s="30">
        <v>98</v>
      </c>
      <c r="CG22" s="2">
        <f t="shared" si="77"/>
        <v>243</v>
      </c>
      <c r="CH22" s="31">
        <v>7</v>
      </c>
      <c r="CI22" s="31">
        <v>3</v>
      </c>
      <c r="CJ22" s="2">
        <f t="shared" si="33"/>
        <v>10</v>
      </c>
      <c r="CK22" s="31">
        <v>19</v>
      </c>
      <c r="CL22" s="31">
        <v>13</v>
      </c>
      <c r="CM22" s="2">
        <f t="shared" si="34"/>
        <v>32</v>
      </c>
      <c r="CN22" s="31">
        <v>35</v>
      </c>
      <c r="CO22" s="33">
        <v>22</v>
      </c>
      <c r="CP22" s="2">
        <f t="shared" si="35"/>
        <v>57</v>
      </c>
      <c r="CQ22" s="31">
        <v>2</v>
      </c>
      <c r="CR22" s="31">
        <v>0</v>
      </c>
      <c r="CS22" s="2">
        <f t="shared" si="36"/>
        <v>2</v>
      </c>
      <c r="CT22" s="33">
        <v>6</v>
      </c>
      <c r="CU22" s="33">
        <v>3</v>
      </c>
      <c r="CV22" s="2">
        <f t="shared" si="37"/>
        <v>9</v>
      </c>
      <c r="CW22" s="28">
        <f t="shared" si="68"/>
        <v>180</v>
      </c>
      <c r="CX22" s="28">
        <f t="shared" si="69"/>
        <v>120</v>
      </c>
      <c r="CY22" s="2">
        <f t="shared" si="39"/>
        <v>300</v>
      </c>
      <c r="CZ22" s="28">
        <f t="shared" si="70"/>
        <v>9</v>
      </c>
      <c r="DA22" s="28">
        <f t="shared" si="71"/>
        <v>3</v>
      </c>
      <c r="DB22" s="2">
        <f t="shared" si="41"/>
        <v>12</v>
      </c>
      <c r="DC22" s="28">
        <f t="shared" si="72"/>
        <v>25</v>
      </c>
      <c r="DD22" s="28">
        <f t="shared" si="73"/>
        <v>16</v>
      </c>
      <c r="DE22" s="2">
        <f t="shared" si="43"/>
        <v>41</v>
      </c>
      <c r="DF22" s="28">
        <f t="shared" si="44"/>
        <v>49.59</v>
      </c>
      <c r="DG22" s="28">
        <f t="shared" si="45"/>
        <v>52.17</v>
      </c>
      <c r="DH22" s="28">
        <f t="shared" si="46"/>
        <v>50.59</v>
      </c>
      <c r="DI22" s="28">
        <f t="shared" si="47"/>
        <v>69.23</v>
      </c>
      <c r="DJ22" s="28">
        <f t="shared" si="48"/>
        <v>42.86</v>
      </c>
      <c r="DK22" s="28">
        <f t="shared" si="49"/>
        <v>60</v>
      </c>
      <c r="DL22" s="28">
        <f t="shared" si="50"/>
        <v>59.52</v>
      </c>
      <c r="DM22" s="28">
        <f t="shared" si="51"/>
        <v>53.33</v>
      </c>
      <c r="DN22" s="28">
        <f t="shared" si="52"/>
        <v>56.94</v>
      </c>
      <c r="DO22" s="32">
        <v>3978</v>
      </c>
      <c r="DP22" s="32">
        <v>5501</v>
      </c>
      <c r="DQ22" s="2">
        <f t="shared" si="53"/>
        <v>9479</v>
      </c>
      <c r="DR22" s="32">
        <v>33</v>
      </c>
      <c r="DS22" s="32">
        <v>59</v>
      </c>
      <c r="DT22" s="2">
        <f t="shared" si="54"/>
        <v>92</v>
      </c>
      <c r="DU22" s="32">
        <v>357</v>
      </c>
      <c r="DV22" s="32">
        <v>524</v>
      </c>
      <c r="DW22" s="2">
        <f t="shared" si="55"/>
        <v>881</v>
      </c>
      <c r="DX22" s="32">
        <v>4849</v>
      </c>
      <c r="DY22" s="32">
        <v>3736</v>
      </c>
      <c r="DZ22" s="2">
        <f t="shared" si="56"/>
        <v>8585</v>
      </c>
      <c r="EA22" s="32">
        <v>75</v>
      </c>
      <c r="EB22" s="32">
        <v>80</v>
      </c>
      <c r="EC22" s="2">
        <f t="shared" si="57"/>
        <v>155</v>
      </c>
      <c r="ED22" s="32">
        <v>634</v>
      </c>
      <c r="EE22" s="32">
        <v>559</v>
      </c>
      <c r="EF22" s="2">
        <f t="shared" si="58"/>
        <v>1193</v>
      </c>
      <c r="EG22" s="4">
        <f t="shared" si="59"/>
        <v>-593</v>
      </c>
      <c r="EH22" s="4">
        <f t="shared" si="60"/>
        <v>-300</v>
      </c>
      <c r="EI22" s="4">
        <f t="shared" si="61"/>
        <v>1</v>
      </c>
      <c r="EJ22" s="4">
        <f t="shared" si="62"/>
        <v>0</v>
      </c>
      <c r="EK22" s="4">
        <f t="shared" si="63"/>
        <v>0</v>
      </c>
      <c r="EL22" s="34"/>
    </row>
    <row r="23" spans="1:142" ht="42.75" customHeight="1" x14ac:dyDescent="0.25">
      <c r="A23" s="50">
        <v>8</v>
      </c>
      <c r="B23" s="35" t="s">
        <v>62</v>
      </c>
      <c r="C23" s="27" t="s">
        <v>63</v>
      </c>
      <c r="D23" s="63">
        <v>42809</v>
      </c>
      <c r="E23" s="63">
        <v>42819</v>
      </c>
      <c r="F23" s="63">
        <v>42924</v>
      </c>
      <c r="G23" s="63">
        <v>42927</v>
      </c>
      <c r="H23" s="6">
        <v>798</v>
      </c>
      <c r="I23" s="6">
        <v>5532</v>
      </c>
      <c r="J23" s="6">
        <v>3666</v>
      </c>
      <c r="K23" s="2">
        <f t="shared" si="0"/>
        <v>9996</v>
      </c>
      <c r="L23" s="6">
        <v>28719</v>
      </c>
      <c r="M23" s="6">
        <v>522918</v>
      </c>
      <c r="N23" s="6">
        <v>217429</v>
      </c>
      <c r="O23" s="2">
        <f t="shared" si="1"/>
        <v>769066</v>
      </c>
      <c r="P23" s="6">
        <v>15386</v>
      </c>
      <c r="Q23" s="6">
        <v>336605</v>
      </c>
      <c r="R23" s="6">
        <v>179250</v>
      </c>
      <c r="S23" s="2">
        <f t="shared" si="2"/>
        <v>531241</v>
      </c>
      <c r="T23" s="15">
        <f t="shared" si="3"/>
        <v>69.08</v>
      </c>
      <c r="U23" s="6">
        <v>440</v>
      </c>
      <c r="V23" s="6">
        <v>1503</v>
      </c>
      <c r="W23" s="6">
        <v>1471</v>
      </c>
      <c r="X23" s="6">
        <v>1332</v>
      </c>
      <c r="Y23" s="6">
        <v>1331</v>
      </c>
      <c r="Z23" s="6">
        <v>1227</v>
      </c>
      <c r="AA23" s="6">
        <v>2692</v>
      </c>
      <c r="AB23" s="29">
        <f t="shared" si="4"/>
        <v>0</v>
      </c>
      <c r="AC23" s="30">
        <v>453666</v>
      </c>
      <c r="AD23" s="30">
        <v>315400</v>
      </c>
      <c r="AE23" s="2">
        <f t="shared" si="5"/>
        <v>769066</v>
      </c>
      <c r="AF23" s="31">
        <v>34439</v>
      </c>
      <c r="AG23" s="31">
        <v>25972</v>
      </c>
      <c r="AH23" s="2">
        <f t="shared" si="6"/>
        <v>60411</v>
      </c>
      <c r="AI23" s="31">
        <v>59051</v>
      </c>
      <c r="AJ23" s="31">
        <v>52052</v>
      </c>
      <c r="AK23" s="2">
        <f t="shared" si="7"/>
        <v>111103</v>
      </c>
      <c r="AL23" s="30">
        <v>293426</v>
      </c>
      <c r="AM23" s="30">
        <v>231483</v>
      </c>
      <c r="AN23" s="2">
        <f t="shared" si="8"/>
        <v>524909</v>
      </c>
      <c r="AO23" s="31">
        <v>20133</v>
      </c>
      <c r="AP23" s="31">
        <v>17126</v>
      </c>
      <c r="AQ23" s="2">
        <f t="shared" si="9"/>
        <v>37259</v>
      </c>
      <c r="AR23" s="31">
        <v>34227</v>
      </c>
      <c r="AS23" s="31">
        <v>34130</v>
      </c>
      <c r="AT23" s="2">
        <f t="shared" si="10"/>
        <v>68357</v>
      </c>
      <c r="AU23" s="31">
        <v>3376</v>
      </c>
      <c r="AV23" s="31">
        <v>2956</v>
      </c>
      <c r="AW23" s="2">
        <f t="shared" si="11"/>
        <v>6332</v>
      </c>
      <c r="AX23" s="33">
        <v>307</v>
      </c>
      <c r="AY23" s="33">
        <v>371</v>
      </c>
      <c r="AZ23" s="2">
        <f t="shared" si="12"/>
        <v>678</v>
      </c>
      <c r="BA23" s="31">
        <v>340</v>
      </c>
      <c r="BB23" s="31">
        <v>461</v>
      </c>
      <c r="BC23" s="2">
        <f t="shared" si="13"/>
        <v>801</v>
      </c>
      <c r="BD23" s="28">
        <f t="shared" si="75"/>
        <v>296802</v>
      </c>
      <c r="BE23" s="28">
        <f t="shared" si="74"/>
        <v>234439</v>
      </c>
      <c r="BF23" s="2">
        <f t="shared" si="15"/>
        <v>531241</v>
      </c>
      <c r="BG23" s="28">
        <f t="shared" si="64"/>
        <v>20440</v>
      </c>
      <c r="BH23" s="28">
        <f t="shared" si="65"/>
        <v>17497</v>
      </c>
      <c r="BI23" s="2">
        <f t="shared" si="17"/>
        <v>37937</v>
      </c>
      <c r="BJ23" s="28">
        <f t="shared" si="66"/>
        <v>34567</v>
      </c>
      <c r="BK23" s="28">
        <f t="shared" si="67"/>
        <v>34591</v>
      </c>
      <c r="BL23" s="2">
        <f t="shared" si="19"/>
        <v>69158</v>
      </c>
      <c r="BM23" s="28">
        <f t="shared" si="20"/>
        <v>65.42</v>
      </c>
      <c r="BN23" s="28">
        <f t="shared" si="21"/>
        <v>74.33</v>
      </c>
      <c r="BO23" s="28">
        <f t="shared" si="22"/>
        <v>69.08</v>
      </c>
      <c r="BP23" s="28">
        <f t="shared" si="23"/>
        <v>59.35</v>
      </c>
      <c r="BQ23" s="28">
        <f t="shared" si="24"/>
        <v>67.37</v>
      </c>
      <c r="BR23" s="28">
        <f t="shared" si="25"/>
        <v>62.8</v>
      </c>
      <c r="BS23" s="28">
        <f t="shared" si="26"/>
        <v>58.54</v>
      </c>
      <c r="BT23" s="28">
        <f t="shared" si="27"/>
        <v>66.45</v>
      </c>
      <c r="BU23" s="28">
        <f t="shared" si="28"/>
        <v>62.25</v>
      </c>
      <c r="BV23" s="30">
        <v>25216</v>
      </c>
      <c r="BW23" s="30">
        <v>9449</v>
      </c>
      <c r="BX23" s="2">
        <f t="shared" si="29"/>
        <v>34665</v>
      </c>
      <c r="BY23" s="31">
        <v>2559</v>
      </c>
      <c r="BZ23" s="31">
        <v>1256</v>
      </c>
      <c r="CA23" s="2">
        <f t="shared" si="76"/>
        <v>3815</v>
      </c>
      <c r="CB23" s="31">
        <v>2308</v>
      </c>
      <c r="CC23" s="31">
        <v>857</v>
      </c>
      <c r="CD23" s="2">
        <f t="shared" si="31"/>
        <v>3165</v>
      </c>
      <c r="CE23" s="30">
        <v>1426</v>
      </c>
      <c r="CF23" s="30">
        <v>950</v>
      </c>
      <c r="CG23" s="2">
        <f t="shared" si="77"/>
        <v>2376</v>
      </c>
      <c r="CH23" s="31">
        <v>76</v>
      </c>
      <c r="CI23" s="31">
        <v>86</v>
      </c>
      <c r="CJ23" s="2">
        <f t="shared" si="33"/>
        <v>162</v>
      </c>
      <c r="CK23" s="31">
        <v>189</v>
      </c>
      <c r="CL23" s="31">
        <v>88</v>
      </c>
      <c r="CM23" s="2">
        <f t="shared" si="34"/>
        <v>277</v>
      </c>
      <c r="CN23" s="33">
        <v>140</v>
      </c>
      <c r="CO23" s="33">
        <v>173</v>
      </c>
      <c r="CP23" s="2">
        <f t="shared" si="35"/>
        <v>313</v>
      </c>
      <c r="CQ23" s="31">
        <v>20</v>
      </c>
      <c r="CR23" s="31">
        <v>24</v>
      </c>
      <c r="CS23" s="2">
        <f t="shared" si="36"/>
        <v>44</v>
      </c>
      <c r="CT23" s="31">
        <v>11</v>
      </c>
      <c r="CU23" s="31">
        <v>9</v>
      </c>
      <c r="CV23" s="2">
        <f t="shared" si="37"/>
        <v>20</v>
      </c>
      <c r="CW23" s="28">
        <f t="shared" si="68"/>
        <v>1566</v>
      </c>
      <c r="CX23" s="28">
        <f t="shared" si="69"/>
        <v>1123</v>
      </c>
      <c r="CY23" s="2">
        <f t="shared" si="39"/>
        <v>2689</v>
      </c>
      <c r="CZ23" s="28">
        <f t="shared" si="70"/>
        <v>96</v>
      </c>
      <c r="DA23" s="28">
        <f t="shared" si="71"/>
        <v>110</v>
      </c>
      <c r="DB23" s="2">
        <f t="shared" si="41"/>
        <v>206</v>
      </c>
      <c r="DC23" s="28">
        <f t="shared" si="72"/>
        <v>200</v>
      </c>
      <c r="DD23" s="28">
        <f t="shared" si="73"/>
        <v>97</v>
      </c>
      <c r="DE23" s="2">
        <f t="shared" si="43"/>
        <v>297</v>
      </c>
      <c r="DF23" s="28">
        <f t="shared" si="44"/>
        <v>6.21</v>
      </c>
      <c r="DG23" s="28">
        <f t="shared" si="45"/>
        <v>11.88</v>
      </c>
      <c r="DH23" s="28">
        <f t="shared" si="46"/>
        <v>7.76</v>
      </c>
      <c r="DI23" s="28">
        <f t="shared" si="47"/>
        <v>3.75</v>
      </c>
      <c r="DJ23" s="28">
        <f t="shared" si="48"/>
        <v>8.76</v>
      </c>
      <c r="DK23" s="28">
        <f t="shared" si="49"/>
        <v>5.4</v>
      </c>
      <c r="DL23" s="28">
        <f t="shared" si="50"/>
        <v>8.67</v>
      </c>
      <c r="DM23" s="28">
        <f t="shared" si="51"/>
        <v>11.32</v>
      </c>
      <c r="DN23" s="28">
        <f t="shared" si="52"/>
        <v>9.3800000000000008</v>
      </c>
      <c r="DO23" s="32">
        <v>110087</v>
      </c>
      <c r="DP23" s="32">
        <v>95894</v>
      </c>
      <c r="DQ23" s="2">
        <f t="shared" si="53"/>
        <v>205981</v>
      </c>
      <c r="DR23" s="32">
        <v>6300</v>
      </c>
      <c r="DS23" s="32">
        <v>5816</v>
      </c>
      <c r="DT23" s="2">
        <f t="shared" si="54"/>
        <v>12116</v>
      </c>
      <c r="DU23" s="32">
        <v>7337</v>
      </c>
      <c r="DV23" s="32">
        <v>8507</v>
      </c>
      <c r="DW23" s="2">
        <f t="shared" si="55"/>
        <v>15844</v>
      </c>
      <c r="DX23" s="32">
        <v>183339</v>
      </c>
      <c r="DY23" s="32">
        <v>135589</v>
      </c>
      <c r="DZ23" s="2">
        <f t="shared" si="56"/>
        <v>318928</v>
      </c>
      <c r="EA23" s="32">
        <v>13833</v>
      </c>
      <c r="EB23" s="32">
        <v>11310</v>
      </c>
      <c r="EC23" s="2">
        <f t="shared" si="57"/>
        <v>25143</v>
      </c>
      <c r="ED23" s="32">
        <v>26890</v>
      </c>
      <c r="EE23" s="32">
        <v>25623</v>
      </c>
      <c r="EF23" s="2">
        <f t="shared" si="58"/>
        <v>52513</v>
      </c>
      <c r="EG23" s="4">
        <f t="shared" si="59"/>
        <v>-34665</v>
      </c>
      <c r="EH23" s="4">
        <f t="shared" si="60"/>
        <v>-2689</v>
      </c>
      <c r="EI23" s="4">
        <f t="shared" si="61"/>
        <v>-9021</v>
      </c>
      <c r="EJ23" s="4">
        <f t="shared" si="62"/>
        <v>-884</v>
      </c>
      <c r="EK23" s="4">
        <f t="shared" si="63"/>
        <v>-1098</v>
      </c>
      <c r="EL23" s="34"/>
    </row>
    <row r="24" spans="1:142" x14ac:dyDescent="0.25">
      <c r="A24" s="50">
        <v>10</v>
      </c>
      <c r="B24" s="35" t="s">
        <v>65</v>
      </c>
      <c r="C24" s="80" t="s">
        <v>66</v>
      </c>
      <c r="D24" s="81">
        <v>42828</v>
      </c>
      <c r="E24" s="82" t="s">
        <v>101</v>
      </c>
      <c r="F24" s="81">
        <v>42898</v>
      </c>
      <c r="G24" s="81">
        <v>42905</v>
      </c>
      <c r="H24" s="84">
        <v>2669</v>
      </c>
      <c r="I24" s="84">
        <v>0</v>
      </c>
      <c r="J24" s="84">
        <v>1204</v>
      </c>
      <c r="K24" s="58">
        <f t="shared" si="0"/>
        <v>3873</v>
      </c>
      <c r="L24" s="84">
        <v>90522</v>
      </c>
      <c r="M24" s="84">
        <v>0</v>
      </c>
      <c r="N24" s="84">
        <v>24285</v>
      </c>
      <c r="O24" s="58">
        <f t="shared" si="1"/>
        <v>114807</v>
      </c>
      <c r="P24" s="84">
        <v>68201</v>
      </c>
      <c r="Q24" s="84">
        <v>0</v>
      </c>
      <c r="R24" s="84">
        <v>21442</v>
      </c>
      <c r="S24" s="58">
        <f t="shared" si="2"/>
        <v>89643</v>
      </c>
      <c r="T24" s="59">
        <f t="shared" si="3"/>
        <v>78.08</v>
      </c>
      <c r="U24" s="84">
        <v>517</v>
      </c>
      <c r="V24" s="84">
        <v>1020</v>
      </c>
      <c r="W24" s="84">
        <v>690</v>
      </c>
      <c r="X24" s="84">
        <v>560</v>
      </c>
      <c r="Y24" s="84">
        <v>428</v>
      </c>
      <c r="Z24" s="84">
        <v>360</v>
      </c>
      <c r="AA24" s="84">
        <v>744</v>
      </c>
      <c r="AB24" s="85">
        <f t="shared" si="4"/>
        <v>-446</v>
      </c>
      <c r="AC24" s="86">
        <v>60812</v>
      </c>
      <c r="AD24" s="86">
        <v>53995</v>
      </c>
      <c r="AE24" s="58">
        <f t="shared" si="5"/>
        <v>114807</v>
      </c>
      <c r="AF24" s="87">
        <v>17705</v>
      </c>
      <c r="AG24" s="87">
        <v>16506</v>
      </c>
      <c r="AH24" s="58">
        <f t="shared" si="6"/>
        <v>34211</v>
      </c>
      <c r="AI24" s="87">
        <v>3747</v>
      </c>
      <c r="AJ24" s="87">
        <v>3407</v>
      </c>
      <c r="AK24" s="58">
        <f t="shared" si="7"/>
        <v>7154</v>
      </c>
      <c r="AL24" s="86">
        <v>39274</v>
      </c>
      <c r="AM24" s="86">
        <v>37680</v>
      </c>
      <c r="AN24" s="58">
        <f t="shared" si="8"/>
        <v>76954</v>
      </c>
      <c r="AO24" s="87">
        <v>10407</v>
      </c>
      <c r="AP24" s="87">
        <v>10597</v>
      </c>
      <c r="AQ24" s="58">
        <f t="shared" si="9"/>
        <v>21004</v>
      </c>
      <c r="AR24" s="87">
        <v>2412</v>
      </c>
      <c r="AS24" s="87">
        <v>2344</v>
      </c>
      <c r="AT24" s="58">
        <f t="shared" si="10"/>
        <v>4756</v>
      </c>
      <c r="AU24" s="88">
        <v>6860</v>
      </c>
      <c r="AV24" s="88">
        <v>5829</v>
      </c>
      <c r="AW24" s="58">
        <f t="shared" si="11"/>
        <v>12689</v>
      </c>
      <c r="AX24" s="89">
        <v>2174</v>
      </c>
      <c r="AY24" s="89">
        <v>2020</v>
      </c>
      <c r="AZ24" s="58">
        <f t="shared" si="12"/>
        <v>4194</v>
      </c>
      <c r="BA24" s="89">
        <v>395</v>
      </c>
      <c r="BB24" s="89">
        <v>371</v>
      </c>
      <c r="BC24" s="58">
        <f t="shared" si="13"/>
        <v>766</v>
      </c>
      <c r="BD24" s="61">
        <f t="shared" si="75"/>
        <v>46134</v>
      </c>
      <c r="BE24" s="61">
        <f t="shared" si="74"/>
        <v>43509</v>
      </c>
      <c r="BF24" s="58">
        <f t="shared" si="15"/>
        <v>89643</v>
      </c>
      <c r="BG24" s="61">
        <f t="shared" si="64"/>
        <v>12581</v>
      </c>
      <c r="BH24" s="61">
        <f t="shared" si="65"/>
        <v>12617</v>
      </c>
      <c r="BI24" s="58">
        <f t="shared" si="17"/>
        <v>25198</v>
      </c>
      <c r="BJ24" s="61">
        <f t="shared" si="66"/>
        <v>2807</v>
      </c>
      <c r="BK24" s="61">
        <f t="shared" si="67"/>
        <v>2715</v>
      </c>
      <c r="BL24" s="58">
        <f t="shared" si="19"/>
        <v>5522</v>
      </c>
      <c r="BM24" s="61">
        <f t="shared" si="20"/>
        <v>75.86</v>
      </c>
      <c r="BN24" s="61">
        <f t="shared" si="21"/>
        <v>80.58</v>
      </c>
      <c r="BO24" s="61">
        <f t="shared" si="22"/>
        <v>78.08</v>
      </c>
      <c r="BP24" s="61">
        <f t="shared" si="23"/>
        <v>71.06</v>
      </c>
      <c r="BQ24" s="61">
        <f t="shared" si="24"/>
        <v>76.44</v>
      </c>
      <c r="BR24" s="61">
        <f t="shared" si="25"/>
        <v>73.650000000000006</v>
      </c>
      <c r="BS24" s="61">
        <f t="shared" si="26"/>
        <v>74.91</v>
      </c>
      <c r="BT24" s="61">
        <f t="shared" si="27"/>
        <v>79.69</v>
      </c>
      <c r="BU24" s="61">
        <f t="shared" si="28"/>
        <v>77.19</v>
      </c>
      <c r="BV24" s="87">
        <v>0</v>
      </c>
      <c r="BW24" s="87">
        <v>0</v>
      </c>
      <c r="BX24" s="58">
        <f t="shared" si="29"/>
        <v>0</v>
      </c>
      <c r="BY24" s="87">
        <v>0</v>
      </c>
      <c r="BZ24" s="87">
        <v>0</v>
      </c>
      <c r="CA24" s="58">
        <f t="shared" si="76"/>
        <v>0</v>
      </c>
      <c r="CB24" s="87">
        <v>0</v>
      </c>
      <c r="CC24" s="87">
        <v>0</v>
      </c>
      <c r="CD24" s="58">
        <f t="shared" si="31"/>
        <v>0</v>
      </c>
      <c r="CE24" s="87">
        <v>0</v>
      </c>
      <c r="CF24" s="87">
        <v>0</v>
      </c>
      <c r="CG24" s="58">
        <f t="shared" si="77"/>
        <v>0</v>
      </c>
      <c r="CH24" s="87">
        <v>0</v>
      </c>
      <c r="CI24" s="87">
        <v>0</v>
      </c>
      <c r="CJ24" s="58">
        <f t="shared" si="33"/>
        <v>0</v>
      </c>
      <c r="CK24" s="87">
        <v>0</v>
      </c>
      <c r="CL24" s="87">
        <v>0</v>
      </c>
      <c r="CM24" s="58">
        <f t="shared" si="34"/>
        <v>0</v>
      </c>
      <c r="CN24" s="89">
        <v>0</v>
      </c>
      <c r="CO24" s="89">
        <v>0</v>
      </c>
      <c r="CP24" s="58">
        <f t="shared" si="35"/>
        <v>0</v>
      </c>
      <c r="CQ24" s="87">
        <v>0</v>
      </c>
      <c r="CR24" s="87">
        <v>0</v>
      </c>
      <c r="CS24" s="58">
        <f t="shared" si="36"/>
        <v>0</v>
      </c>
      <c r="CT24" s="87">
        <v>0</v>
      </c>
      <c r="CU24" s="87">
        <v>0</v>
      </c>
      <c r="CV24" s="58">
        <f t="shared" si="37"/>
        <v>0</v>
      </c>
      <c r="CW24" s="28">
        <f t="shared" si="68"/>
        <v>0</v>
      </c>
      <c r="CX24" s="28">
        <f t="shared" si="69"/>
        <v>0</v>
      </c>
      <c r="CY24" s="2">
        <f t="shared" si="39"/>
        <v>0</v>
      </c>
      <c r="CZ24" s="28">
        <f t="shared" si="70"/>
        <v>0</v>
      </c>
      <c r="DA24" s="28">
        <f t="shared" si="71"/>
        <v>0</v>
      </c>
      <c r="DB24" s="2">
        <f t="shared" si="41"/>
        <v>0</v>
      </c>
      <c r="DC24" s="28">
        <f t="shared" si="72"/>
        <v>0</v>
      </c>
      <c r="DD24" s="28">
        <f t="shared" si="73"/>
        <v>0</v>
      </c>
      <c r="DE24" s="2">
        <f t="shared" si="43"/>
        <v>0</v>
      </c>
      <c r="DF24" s="61" t="e">
        <f t="shared" si="44"/>
        <v>#DIV/0!</v>
      </c>
      <c r="DG24" s="61" t="e">
        <f t="shared" si="45"/>
        <v>#DIV/0!</v>
      </c>
      <c r="DH24" s="61" t="e">
        <f t="shared" si="46"/>
        <v>#DIV/0!</v>
      </c>
      <c r="DI24" s="61" t="e">
        <f t="shared" si="47"/>
        <v>#DIV/0!</v>
      </c>
      <c r="DJ24" s="61" t="e">
        <f t="shared" si="48"/>
        <v>#DIV/0!</v>
      </c>
      <c r="DK24" s="61" t="e">
        <f t="shared" si="49"/>
        <v>#DIV/0!</v>
      </c>
      <c r="DL24" s="61" t="e">
        <f t="shared" si="50"/>
        <v>#DIV/0!</v>
      </c>
      <c r="DM24" s="61" t="e">
        <f t="shared" si="51"/>
        <v>#DIV/0!</v>
      </c>
      <c r="DN24" s="61" t="e">
        <f t="shared" si="52"/>
        <v>#DIV/0!</v>
      </c>
      <c r="DO24" s="90">
        <v>27097</v>
      </c>
      <c r="DP24" s="90">
        <v>29637</v>
      </c>
      <c r="DQ24" s="56">
        <f t="shared" si="53"/>
        <v>56734</v>
      </c>
      <c r="DR24" s="90">
        <v>6430</v>
      </c>
      <c r="DS24" s="90">
        <v>7738</v>
      </c>
      <c r="DT24" s="56">
        <f t="shared" si="54"/>
        <v>14168</v>
      </c>
      <c r="DU24" s="90">
        <v>1572</v>
      </c>
      <c r="DV24" s="90">
        <v>1731</v>
      </c>
      <c r="DW24" s="56">
        <f t="shared" si="55"/>
        <v>3303</v>
      </c>
      <c r="DX24" s="90">
        <v>12177</v>
      </c>
      <c r="DY24" s="90">
        <v>8043</v>
      </c>
      <c r="DZ24" s="56">
        <f t="shared" si="56"/>
        <v>20220</v>
      </c>
      <c r="EA24" s="90">
        <v>3977</v>
      </c>
      <c r="EB24" s="90">
        <v>2859</v>
      </c>
      <c r="EC24" s="56">
        <f t="shared" si="57"/>
        <v>6836</v>
      </c>
      <c r="ED24" s="90">
        <v>840</v>
      </c>
      <c r="EE24" s="90">
        <v>613</v>
      </c>
      <c r="EF24" s="56">
        <f t="shared" si="58"/>
        <v>1453</v>
      </c>
      <c r="EG24" s="91">
        <f t="shared" si="59"/>
        <v>0</v>
      </c>
      <c r="EH24" s="91">
        <f t="shared" si="60"/>
        <v>0</v>
      </c>
      <c r="EI24" s="91">
        <f t="shared" si="61"/>
        <v>-12689</v>
      </c>
      <c r="EJ24" s="91">
        <f t="shared" si="62"/>
        <v>-4194</v>
      </c>
      <c r="EK24" s="91">
        <f t="shared" si="63"/>
        <v>-766</v>
      </c>
      <c r="EL24" s="34"/>
    </row>
    <row r="25" spans="1:142" ht="28.5" x14ac:dyDescent="0.25">
      <c r="A25" s="51">
        <v>24</v>
      </c>
      <c r="B25" s="45" t="s">
        <v>97</v>
      </c>
      <c r="C25" s="48" t="s">
        <v>98</v>
      </c>
      <c r="D25" s="65" t="s">
        <v>75</v>
      </c>
      <c r="E25" s="65" t="s">
        <v>75</v>
      </c>
      <c r="F25" s="65" t="s">
        <v>75</v>
      </c>
      <c r="G25" s="65" t="s">
        <v>75</v>
      </c>
      <c r="H25" s="46">
        <v>0</v>
      </c>
      <c r="I25" s="46">
        <v>0</v>
      </c>
      <c r="J25" s="46">
        <v>0</v>
      </c>
      <c r="K25" s="46">
        <f t="shared" si="0"/>
        <v>0</v>
      </c>
      <c r="L25" s="46">
        <v>0</v>
      </c>
      <c r="M25" s="46">
        <v>0</v>
      </c>
      <c r="N25" s="46">
        <v>0</v>
      </c>
      <c r="O25" s="46">
        <f t="shared" si="1"/>
        <v>0</v>
      </c>
      <c r="P25" s="46">
        <v>0</v>
      </c>
      <c r="Q25" s="46">
        <v>0</v>
      </c>
      <c r="R25" s="46">
        <v>0</v>
      </c>
      <c r="S25" s="46">
        <f t="shared" si="2"/>
        <v>0</v>
      </c>
      <c r="T25" s="46" t="e">
        <f t="shared" si="3"/>
        <v>#DIV/0!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7">
        <f t="shared" si="4"/>
        <v>0</v>
      </c>
      <c r="AC25" s="46">
        <v>75356</v>
      </c>
      <c r="AD25" s="46">
        <v>66388</v>
      </c>
      <c r="AE25" s="46">
        <f t="shared" si="5"/>
        <v>141744</v>
      </c>
      <c r="AF25" s="46">
        <v>0</v>
      </c>
      <c r="AG25" s="46">
        <v>0</v>
      </c>
      <c r="AH25" s="46">
        <f t="shared" si="6"/>
        <v>0</v>
      </c>
      <c r="AI25" s="46">
        <v>0</v>
      </c>
      <c r="AJ25" s="46">
        <v>0</v>
      </c>
      <c r="AK25" s="46">
        <f t="shared" si="7"/>
        <v>0</v>
      </c>
      <c r="AL25" s="46">
        <v>46549</v>
      </c>
      <c r="AM25" s="46">
        <v>41265</v>
      </c>
      <c r="AN25" s="46">
        <f t="shared" si="8"/>
        <v>87814</v>
      </c>
      <c r="AO25" s="46">
        <v>0</v>
      </c>
      <c r="AP25" s="46">
        <v>0</v>
      </c>
      <c r="AQ25" s="46">
        <f t="shared" si="9"/>
        <v>0</v>
      </c>
      <c r="AR25" s="46">
        <v>0</v>
      </c>
      <c r="AS25" s="46">
        <v>0</v>
      </c>
      <c r="AT25" s="46">
        <f t="shared" si="10"/>
        <v>0</v>
      </c>
      <c r="AU25" s="46">
        <v>0</v>
      </c>
      <c r="AV25" s="46">
        <v>0</v>
      </c>
      <c r="AW25" s="46">
        <f t="shared" si="11"/>
        <v>0</v>
      </c>
      <c r="AX25" s="46">
        <v>0</v>
      </c>
      <c r="AY25" s="46">
        <v>0</v>
      </c>
      <c r="AZ25" s="2">
        <f t="shared" si="12"/>
        <v>0</v>
      </c>
      <c r="BA25" s="46">
        <v>0</v>
      </c>
      <c r="BB25" s="46">
        <v>0</v>
      </c>
      <c r="BC25" s="46">
        <f t="shared" si="13"/>
        <v>0</v>
      </c>
      <c r="BD25" s="46">
        <f t="shared" si="75"/>
        <v>46549</v>
      </c>
      <c r="BE25" s="46">
        <f t="shared" si="74"/>
        <v>41265</v>
      </c>
      <c r="BF25" s="46">
        <f t="shared" si="15"/>
        <v>87814</v>
      </c>
      <c r="BG25" s="46">
        <f t="shared" si="64"/>
        <v>0</v>
      </c>
      <c r="BH25" s="46">
        <f t="shared" si="65"/>
        <v>0</v>
      </c>
      <c r="BI25" s="46">
        <f t="shared" si="17"/>
        <v>0</v>
      </c>
      <c r="BJ25" s="46">
        <f t="shared" si="66"/>
        <v>0</v>
      </c>
      <c r="BK25" s="46">
        <f t="shared" si="67"/>
        <v>0</v>
      </c>
      <c r="BL25" s="46">
        <f t="shared" si="19"/>
        <v>0</v>
      </c>
      <c r="BM25" s="46">
        <f t="shared" si="20"/>
        <v>61.77</v>
      </c>
      <c r="BN25" s="46">
        <f t="shared" si="21"/>
        <v>62.16</v>
      </c>
      <c r="BO25" s="46">
        <f t="shared" si="22"/>
        <v>61.95</v>
      </c>
      <c r="BP25" s="46" t="e">
        <f t="shared" si="23"/>
        <v>#DIV/0!</v>
      </c>
      <c r="BQ25" s="46" t="e">
        <f t="shared" si="24"/>
        <v>#DIV/0!</v>
      </c>
      <c r="BR25" s="46" t="e">
        <f t="shared" si="25"/>
        <v>#DIV/0!</v>
      </c>
      <c r="BS25" s="46" t="e">
        <f t="shared" si="26"/>
        <v>#DIV/0!</v>
      </c>
      <c r="BT25" s="46" t="e">
        <f t="shared" si="27"/>
        <v>#DIV/0!</v>
      </c>
      <c r="BU25" s="46" t="e">
        <f t="shared" si="28"/>
        <v>#DIV/0!</v>
      </c>
      <c r="BV25" s="46">
        <v>81979</v>
      </c>
      <c r="BW25" s="46">
        <v>55099</v>
      </c>
      <c r="BX25" s="46">
        <f t="shared" si="29"/>
        <v>137078</v>
      </c>
      <c r="BY25" s="46">
        <v>0</v>
      </c>
      <c r="BZ25" s="46">
        <v>0</v>
      </c>
      <c r="CA25" s="46">
        <f t="shared" si="76"/>
        <v>0</v>
      </c>
      <c r="CB25" s="46">
        <v>0</v>
      </c>
      <c r="CC25" s="46">
        <v>0</v>
      </c>
      <c r="CD25" s="46">
        <f t="shared" si="31"/>
        <v>0</v>
      </c>
      <c r="CE25" s="46">
        <v>37673</v>
      </c>
      <c r="CF25" s="46">
        <v>28593</v>
      </c>
      <c r="CG25" s="46">
        <f t="shared" si="77"/>
        <v>66266</v>
      </c>
      <c r="CH25" s="46">
        <v>0</v>
      </c>
      <c r="CI25" s="46">
        <v>0</v>
      </c>
      <c r="CJ25" s="46">
        <f t="shared" si="33"/>
        <v>0</v>
      </c>
      <c r="CK25" s="46">
        <v>0</v>
      </c>
      <c r="CL25" s="46">
        <v>0</v>
      </c>
      <c r="CM25" s="46">
        <f t="shared" si="34"/>
        <v>0</v>
      </c>
      <c r="CN25" s="46">
        <v>0</v>
      </c>
      <c r="CO25" s="46">
        <v>0</v>
      </c>
      <c r="CP25" s="46">
        <f t="shared" si="35"/>
        <v>0</v>
      </c>
      <c r="CQ25" s="46">
        <v>0</v>
      </c>
      <c r="CR25" s="46">
        <v>0</v>
      </c>
      <c r="CS25" s="46">
        <f t="shared" si="36"/>
        <v>0</v>
      </c>
      <c r="CT25" s="46">
        <v>0</v>
      </c>
      <c r="CU25" s="46">
        <v>0</v>
      </c>
      <c r="CV25" s="2">
        <f t="shared" si="37"/>
        <v>0</v>
      </c>
      <c r="CW25" s="46">
        <f t="shared" si="68"/>
        <v>37673</v>
      </c>
      <c r="CX25" s="46">
        <f t="shared" si="69"/>
        <v>28593</v>
      </c>
      <c r="CY25" s="46">
        <f t="shared" si="39"/>
        <v>66266</v>
      </c>
      <c r="CZ25" s="28">
        <f t="shared" si="70"/>
        <v>0</v>
      </c>
      <c r="DA25" s="28">
        <f t="shared" si="71"/>
        <v>0</v>
      </c>
      <c r="DB25" s="2">
        <f t="shared" si="41"/>
        <v>0</v>
      </c>
      <c r="DC25" s="28">
        <f t="shared" si="72"/>
        <v>0</v>
      </c>
      <c r="DD25" s="28">
        <f t="shared" si="73"/>
        <v>0</v>
      </c>
      <c r="DE25" s="2">
        <f t="shared" si="43"/>
        <v>0</v>
      </c>
      <c r="DF25" s="46">
        <f t="shared" si="44"/>
        <v>45.95</v>
      </c>
      <c r="DG25" s="46">
        <f t="shared" si="45"/>
        <v>51.89</v>
      </c>
      <c r="DH25" s="46">
        <f t="shared" si="46"/>
        <v>48.34</v>
      </c>
      <c r="DI25" s="46" t="e">
        <f t="shared" si="47"/>
        <v>#DIV/0!</v>
      </c>
      <c r="DJ25" s="46" t="e">
        <f t="shared" si="48"/>
        <v>#DIV/0!</v>
      </c>
      <c r="DK25" s="46" t="e">
        <f t="shared" si="49"/>
        <v>#DIV/0!</v>
      </c>
      <c r="DL25" s="28" t="e">
        <f t="shared" si="50"/>
        <v>#DIV/0!</v>
      </c>
      <c r="DM25" s="28" t="e">
        <f t="shared" si="51"/>
        <v>#DIV/0!</v>
      </c>
      <c r="DN25" s="28" t="e">
        <f t="shared" si="52"/>
        <v>#DIV/0!</v>
      </c>
      <c r="DO25" s="46">
        <f>21002+414</f>
        <v>21416</v>
      </c>
      <c r="DP25" s="46">
        <f>19957+494</f>
        <v>20451</v>
      </c>
      <c r="DQ25" s="46">
        <f t="shared" si="53"/>
        <v>41867</v>
      </c>
      <c r="DR25" s="46">
        <v>0</v>
      </c>
      <c r="DS25" s="46">
        <v>0</v>
      </c>
      <c r="DT25" s="46">
        <f t="shared" si="54"/>
        <v>0</v>
      </c>
      <c r="DU25" s="46">
        <v>0</v>
      </c>
      <c r="DV25" s="46">
        <v>0</v>
      </c>
      <c r="DW25" s="46">
        <f t="shared" si="55"/>
        <v>0</v>
      </c>
      <c r="DX25" s="46">
        <f>25547+37259</f>
        <v>62806</v>
      </c>
      <c r="DY25" s="46">
        <f>21308+28099</f>
        <v>49407</v>
      </c>
      <c r="DZ25" s="46">
        <f t="shared" si="56"/>
        <v>112213</v>
      </c>
      <c r="EA25" s="46">
        <v>0</v>
      </c>
      <c r="EB25" s="46">
        <v>0</v>
      </c>
      <c r="EC25" s="46">
        <f t="shared" si="57"/>
        <v>0</v>
      </c>
      <c r="ED25" s="46">
        <v>0</v>
      </c>
      <c r="EE25" s="46">
        <v>0</v>
      </c>
      <c r="EF25" s="46">
        <f t="shared" si="58"/>
        <v>0</v>
      </c>
      <c r="EG25" s="46">
        <f t="shared" si="59"/>
        <v>-278822</v>
      </c>
      <c r="EH25" s="46">
        <f t="shared" si="60"/>
        <v>-154080</v>
      </c>
      <c r="EI25" s="46">
        <f t="shared" si="61"/>
        <v>0</v>
      </c>
      <c r="EJ25" s="46">
        <f t="shared" si="62"/>
        <v>0</v>
      </c>
      <c r="EK25" s="46">
        <f t="shared" si="63"/>
        <v>0</v>
      </c>
    </row>
    <row r="26" spans="1:142" ht="28.5" x14ac:dyDescent="0.25">
      <c r="A26" s="51">
        <v>23</v>
      </c>
      <c r="B26" s="45" t="s">
        <v>95</v>
      </c>
      <c r="C26" s="48" t="s">
        <v>96</v>
      </c>
      <c r="D26" s="65" t="s">
        <v>75</v>
      </c>
      <c r="E26" s="65" t="s">
        <v>75</v>
      </c>
      <c r="F26" s="65" t="s">
        <v>75</v>
      </c>
      <c r="G26" s="65" t="s">
        <v>75</v>
      </c>
      <c r="H26" s="46">
        <v>2187</v>
      </c>
      <c r="I26" s="46">
        <v>1065</v>
      </c>
      <c r="J26" s="46">
        <v>11</v>
      </c>
      <c r="K26" s="46">
        <f t="shared" si="0"/>
        <v>3263</v>
      </c>
      <c r="L26" s="46">
        <v>274572</v>
      </c>
      <c r="M26" s="46">
        <v>187113</v>
      </c>
      <c r="N26" s="46">
        <v>1085</v>
      </c>
      <c r="O26" s="46">
        <f t="shared" si="1"/>
        <v>462770</v>
      </c>
      <c r="P26" s="46">
        <v>171212</v>
      </c>
      <c r="Q26" s="46">
        <v>136299</v>
      </c>
      <c r="R26" s="46">
        <v>776</v>
      </c>
      <c r="S26" s="46">
        <f t="shared" si="2"/>
        <v>308287</v>
      </c>
      <c r="T26" s="46">
        <f t="shared" si="3"/>
        <v>66.62</v>
      </c>
      <c r="U26" s="46">
        <v>141</v>
      </c>
      <c r="V26" s="46">
        <v>362</v>
      </c>
      <c r="W26" s="46">
        <v>536</v>
      </c>
      <c r="X26" s="46">
        <v>544</v>
      </c>
      <c r="Y26" s="46">
        <v>530</v>
      </c>
      <c r="Z26" s="46">
        <v>509</v>
      </c>
      <c r="AA26" s="46">
        <v>641</v>
      </c>
      <c r="AB26" s="47">
        <f t="shared" si="4"/>
        <v>0</v>
      </c>
      <c r="AC26" s="46">
        <v>184745</v>
      </c>
      <c r="AD26" s="46">
        <v>195038</v>
      </c>
      <c r="AE26" s="46">
        <f t="shared" si="5"/>
        <v>379783</v>
      </c>
      <c r="AF26" s="46">
        <v>22504</v>
      </c>
      <c r="AG26" s="46">
        <v>22404</v>
      </c>
      <c r="AH26" s="46">
        <f t="shared" si="6"/>
        <v>44908</v>
      </c>
      <c r="AI26" s="46">
        <v>42485</v>
      </c>
      <c r="AJ26" s="46">
        <v>44999</v>
      </c>
      <c r="AK26" s="46">
        <f t="shared" si="7"/>
        <v>87484</v>
      </c>
      <c r="AL26" s="46">
        <v>137459</v>
      </c>
      <c r="AM26" s="46">
        <v>135209</v>
      </c>
      <c r="AN26" s="46">
        <f t="shared" si="8"/>
        <v>272668</v>
      </c>
      <c r="AO26" s="46">
        <v>15869</v>
      </c>
      <c r="AP26" s="46">
        <v>13748</v>
      </c>
      <c r="AQ26" s="46">
        <f t="shared" si="9"/>
        <v>29617</v>
      </c>
      <c r="AR26" s="46">
        <v>29146</v>
      </c>
      <c r="AS26" s="46">
        <v>28391</v>
      </c>
      <c r="AT26" s="46">
        <f t="shared" si="10"/>
        <v>57537</v>
      </c>
      <c r="AU26" s="46">
        <v>0</v>
      </c>
      <c r="AV26" s="46">
        <v>0</v>
      </c>
      <c r="AW26" s="46">
        <f t="shared" si="11"/>
        <v>0</v>
      </c>
      <c r="AX26" s="46">
        <v>0</v>
      </c>
      <c r="AY26" s="46">
        <v>1</v>
      </c>
      <c r="AZ26" s="2">
        <f t="shared" si="12"/>
        <v>1</v>
      </c>
      <c r="BA26" s="46">
        <v>0</v>
      </c>
      <c r="BB26" s="46">
        <v>0</v>
      </c>
      <c r="BC26" s="46">
        <f t="shared" si="13"/>
        <v>0</v>
      </c>
      <c r="BD26" s="46">
        <f t="shared" si="75"/>
        <v>137459</v>
      </c>
      <c r="BE26" s="46">
        <f t="shared" si="74"/>
        <v>135209</v>
      </c>
      <c r="BF26" s="46">
        <f t="shared" si="15"/>
        <v>272668</v>
      </c>
      <c r="BG26" s="46">
        <f t="shared" si="64"/>
        <v>15869</v>
      </c>
      <c r="BH26" s="46">
        <f t="shared" si="65"/>
        <v>13749</v>
      </c>
      <c r="BI26" s="46">
        <f t="shared" si="17"/>
        <v>29618</v>
      </c>
      <c r="BJ26" s="46">
        <f t="shared" si="66"/>
        <v>29146</v>
      </c>
      <c r="BK26" s="46">
        <f t="shared" si="67"/>
        <v>28391</v>
      </c>
      <c r="BL26" s="46">
        <f t="shared" si="19"/>
        <v>57537</v>
      </c>
      <c r="BM26" s="46">
        <f t="shared" si="20"/>
        <v>74.400000000000006</v>
      </c>
      <c r="BN26" s="46">
        <f t="shared" si="21"/>
        <v>69.319999999999993</v>
      </c>
      <c r="BO26" s="46">
        <f t="shared" si="22"/>
        <v>71.8</v>
      </c>
      <c r="BP26" s="46">
        <f t="shared" si="23"/>
        <v>70.52</v>
      </c>
      <c r="BQ26" s="46">
        <f t="shared" si="24"/>
        <v>61.37</v>
      </c>
      <c r="BR26" s="46">
        <f t="shared" si="25"/>
        <v>65.95</v>
      </c>
      <c r="BS26" s="46">
        <f t="shared" si="26"/>
        <v>68.599999999999994</v>
      </c>
      <c r="BT26" s="46">
        <f t="shared" si="27"/>
        <v>63.09</v>
      </c>
      <c r="BU26" s="46">
        <f t="shared" si="28"/>
        <v>65.77</v>
      </c>
      <c r="BV26" s="46">
        <v>43767</v>
      </c>
      <c r="BW26" s="46">
        <v>39220</v>
      </c>
      <c r="BX26" s="46">
        <f t="shared" si="29"/>
        <v>82987</v>
      </c>
      <c r="BY26" s="46">
        <v>6122</v>
      </c>
      <c r="BZ26" s="46">
        <v>5666</v>
      </c>
      <c r="CA26" s="46">
        <f t="shared" si="76"/>
        <v>11788</v>
      </c>
      <c r="CB26" s="46">
        <v>13534</v>
      </c>
      <c r="CC26" s="46">
        <v>13892</v>
      </c>
      <c r="CD26" s="46">
        <f t="shared" si="31"/>
        <v>27426</v>
      </c>
      <c r="CE26" s="46">
        <v>23518</v>
      </c>
      <c r="CF26" s="46">
        <v>18101</v>
      </c>
      <c r="CG26" s="46">
        <f t="shared" si="77"/>
        <v>41619</v>
      </c>
      <c r="CH26" s="46">
        <v>3050</v>
      </c>
      <c r="CI26" s="46">
        <v>2281</v>
      </c>
      <c r="CJ26" s="46">
        <f t="shared" si="33"/>
        <v>5331</v>
      </c>
      <c r="CK26" s="46">
        <v>6094</v>
      </c>
      <c r="CL26" s="46">
        <v>6011</v>
      </c>
      <c r="CM26" s="46">
        <f t="shared" si="34"/>
        <v>12105</v>
      </c>
      <c r="CN26" s="46">
        <v>0</v>
      </c>
      <c r="CO26" s="46">
        <v>0</v>
      </c>
      <c r="CP26" s="46">
        <f t="shared" si="35"/>
        <v>0</v>
      </c>
      <c r="CQ26" s="46">
        <v>0</v>
      </c>
      <c r="CR26" s="46">
        <v>0</v>
      </c>
      <c r="CS26" s="46">
        <f t="shared" si="36"/>
        <v>0</v>
      </c>
      <c r="CT26" s="46">
        <v>0</v>
      </c>
      <c r="CU26" s="46">
        <v>0</v>
      </c>
      <c r="CV26" s="2">
        <f t="shared" si="37"/>
        <v>0</v>
      </c>
      <c r="CW26" s="46">
        <f t="shared" si="68"/>
        <v>23518</v>
      </c>
      <c r="CX26" s="46">
        <f t="shared" si="69"/>
        <v>18101</v>
      </c>
      <c r="CY26" s="46">
        <f t="shared" si="39"/>
        <v>41619</v>
      </c>
      <c r="CZ26" s="28">
        <f t="shared" si="70"/>
        <v>3050</v>
      </c>
      <c r="DA26" s="28">
        <f t="shared" si="71"/>
        <v>2281</v>
      </c>
      <c r="DB26" s="2">
        <f t="shared" si="41"/>
        <v>5331</v>
      </c>
      <c r="DC26" s="28">
        <f t="shared" si="72"/>
        <v>6094</v>
      </c>
      <c r="DD26" s="28">
        <f t="shared" si="73"/>
        <v>6011</v>
      </c>
      <c r="DE26" s="2">
        <f t="shared" si="43"/>
        <v>12105</v>
      </c>
      <c r="DF26" s="46">
        <f t="shared" si="44"/>
        <v>53.73</v>
      </c>
      <c r="DG26" s="46">
        <f t="shared" si="45"/>
        <v>46.15</v>
      </c>
      <c r="DH26" s="46">
        <f t="shared" si="46"/>
        <v>50.15</v>
      </c>
      <c r="DI26" s="46">
        <f t="shared" si="47"/>
        <v>49.82</v>
      </c>
      <c r="DJ26" s="46">
        <f t="shared" si="48"/>
        <v>40.26</v>
      </c>
      <c r="DK26" s="46">
        <f t="shared" si="49"/>
        <v>45.22</v>
      </c>
      <c r="DL26" s="28">
        <f t="shared" si="50"/>
        <v>45.03</v>
      </c>
      <c r="DM26" s="28">
        <f t="shared" si="51"/>
        <v>43.27</v>
      </c>
      <c r="DN26" s="28">
        <f t="shared" si="52"/>
        <v>44.14</v>
      </c>
      <c r="DO26" s="46">
        <v>65663</v>
      </c>
      <c r="DP26" s="46">
        <v>59738</v>
      </c>
      <c r="DQ26" s="46">
        <f t="shared" si="53"/>
        <v>125401</v>
      </c>
      <c r="DR26" s="46">
        <v>6526</v>
      </c>
      <c r="DS26" s="46">
        <v>4954</v>
      </c>
      <c r="DT26" s="46">
        <f t="shared" si="54"/>
        <v>11480</v>
      </c>
      <c r="DU26" s="46">
        <v>11880</v>
      </c>
      <c r="DV26" s="46">
        <v>11120</v>
      </c>
      <c r="DW26" s="46">
        <f t="shared" si="55"/>
        <v>23000</v>
      </c>
      <c r="DX26" s="46">
        <v>95314</v>
      </c>
      <c r="DY26" s="46">
        <v>93572</v>
      </c>
      <c r="DZ26" s="46">
        <f t="shared" si="56"/>
        <v>188886</v>
      </c>
      <c r="EA26" s="46">
        <v>12393</v>
      </c>
      <c r="EB26" s="46">
        <v>11076</v>
      </c>
      <c r="EC26" s="46">
        <f t="shared" si="57"/>
        <v>23469</v>
      </c>
      <c r="ED26" s="46">
        <v>24160</v>
      </c>
      <c r="EE26" s="46">
        <v>0</v>
      </c>
      <c r="EF26" s="46">
        <f t="shared" si="58"/>
        <v>24160</v>
      </c>
      <c r="EG26" s="46">
        <f t="shared" si="59"/>
        <v>0</v>
      </c>
      <c r="EH26" s="46">
        <f t="shared" si="60"/>
        <v>-6000</v>
      </c>
      <c r="EI26" s="46">
        <f t="shared" si="61"/>
        <v>0</v>
      </c>
      <c r="EJ26" s="46">
        <f t="shared" si="62"/>
        <v>0</v>
      </c>
      <c r="EK26" s="46">
        <f t="shared" si="63"/>
        <v>-22482</v>
      </c>
    </row>
    <row r="27" spans="1:142" ht="33.75" customHeight="1" x14ac:dyDescent="0.25">
      <c r="A27" s="51">
        <v>33</v>
      </c>
      <c r="B27" s="45" t="s">
        <v>113</v>
      </c>
      <c r="C27" s="48" t="s">
        <v>114</v>
      </c>
      <c r="D27" s="64">
        <v>42824</v>
      </c>
      <c r="E27" s="64">
        <v>42837</v>
      </c>
      <c r="F27" s="64">
        <v>42901</v>
      </c>
      <c r="G27" s="64">
        <v>42908</v>
      </c>
      <c r="H27" s="46">
        <v>5161</v>
      </c>
      <c r="I27" s="46">
        <v>3285</v>
      </c>
      <c r="J27" s="46">
        <v>5712</v>
      </c>
      <c r="K27" s="46">
        <f t="shared" si="0"/>
        <v>14158</v>
      </c>
      <c r="L27" s="46">
        <v>338853</v>
      </c>
      <c r="M27" s="46">
        <v>248476</v>
      </c>
      <c r="N27" s="46">
        <v>268697</v>
      </c>
      <c r="O27" s="46">
        <f t="shared" si="1"/>
        <v>856026</v>
      </c>
      <c r="P27" s="46">
        <v>311812</v>
      </c>
      <c r="Q27" s="46">
        <v>231297</v>
      </c>
      <c r="R27" s="46">
        <v>259892</v>
      </c>
      <c r="S27" s="46">
        <f t="shared" si="2"/>
        <v>803001</v>
      </c>
      <c r="T27" s="46">
        <f t="shared" si="3"/>
        <v>93.81</v>
      </c>
      <c r="U27" s="46">
        <v>835</v>
      </c>
      <c r="V27" s="46">
        <v>2019</v>
      </c>
      <c r="W27" s="46">
        <v>2406</v>
      </c>
      <c r="X27" s="46">
        <v>2321</v>
      </c>
      <c r="Y27" s="46">
        <v>2044</v>
      </c>
      <c r="Z27" s="46">
        <v>1749</v>
      </c>
      <c r="AA27" s="46">
        <v>2784</v>
      </c>
      <c r="AB27" s="47">
        <f t="shared" si="4"/>
        <v>0</v>
      </c>
      <c r="AC27" s="46">
        <v>434503</v>
      </c>
      <c r="AD27" s="46">
        <v>394363</v>
      </c>
      <c r="AE27" s="46">
        <f t="shared" si="5"/>
        <v>828866</v>
      </c>
      <c r="AF27" s="46">
        <v>82799</v>
      </c>
      <c r="AG27" s="46">
        <v>73748</v>
      </c>
      <c r="AH27" s="46">
        <f t="shared" si="6"/>
        <v>156547</v>
      </c>
      <c r="AI27" s="46">
        <v>31091</v>
      </c>
      <c r="AJ27" s="46">
        <v>26965</v>
      </c>
      <c r="AK27" s="46">
        <f t="shared" si="7"/>
        <v>58056</v>
      </c>
      <c r="AL27" s="46">
        <v>284727</v>
      </c>
      <c r="AM27" s="46">
        <v>296734</v>
      </c>
      <c r="AN27" s="46">
        <f t="shared" si="8"/>
        <v>581461</v>
      </c>
      <c r="AO27" s="46">
        <v>48918</v>
      </c>
      <c r="AP27" s="46">
        <v>48772</v>
      </c>
      <c r="AQ27" s="46">
        <f t="shared" si="9"/>
        <v>97690</v>
      </c>
      <c r="AR27" s="46">
        <v>18809</v>
      </c>
      <c r="AS27" s="46">
        <v>18603</v>
      </c>
      <c r="AT27" s="46">
        <f t="shared" si="10"/>
        <v>37412</v>
      </c>
      <c r="AU27" s="46">
        <v>66564</v>
      </c>
      <c r="AV27" s="46">
        <v>45902</v>
      </c>
      <c r="AW27" s="46">
        <f t="shared" si="11"/>
        <v>112466</v>
      </c>
      <c r="AX27" s="46">
        <v>14209</v>
      </c>
      <c r="AY27" s="46">
        <v>10915</v>
      </c>
      <c r="AZ27" s="46">
        <f t="shared" si="12"/>
        <v>25124</v>
      </c>
      <c r="BA27" s="46">
        <v>5425</v>
      </c>
      <c r="BB27" s="46">
        <v>4027</v>
      </c>
      <c r="BC27" s="46">
        <f t="shared" si="13"/>
        <v>9452</v>
      </c>
      <c r="BD27" s="46">
        <f t="shared" si="75"/>
        <v>351291</v>
      </c>
      <c r="BE27" s="46">
        <f t="shared" si="74"/>
        <v>342636</v>
      </c>
      <c r="BF27" s="46">
        <f t="shared" si="15"/>
        <v>693927</v>
      </c>
      <c r="BG27" s="46">
        <f t="shared" si="64"/>
        <v>63127</v>
      </c>
      <c r="BH27" s="46">
        <f t="shared" si="65"/>
        <v>59687</v>
      </c>
      <c r="BI27" s="46">
        <f t="shared" si="17"/>
        <v>122814</v>
      </c>
      <c r="BJ27" s="46">
        <f t="shared" si="66"/>
        <v>24234</v>
      </c>
      <c r="BK27" s="46">
        <f t="shared" si="67"/>
        <v>22630</v>
      </c>
      <c r="BL27" s="46">
        <f t="shared" si="19"/>
        <v>46864</v>
      </c>
      <c r="BM27" s="46">
        <f t="shared" si="20"/>
        <v>80.849999999999994</v>
      </c>
      <c r="BN27" s="46">
        <f t="shared" si="21"/>
        <v>86.88</v>
      </c>
      <c r="BO27" s="46">
        <f t="shared" si="22"/>
        <v>83.72</v>
      </c>
      <c r="BP27" s="46">
        <f t="shared" si="23"/>
        <v>76.239999999999995</v>
      </c>
      <c r="BQ27" s="46">
        <f t="shared" si="24"/>
        <v>80.930000000000007</v>
      </c>
      <c r="BR27" s="46">
        <f t="shared" si="25"/>
        <v>78.45</v>
      </c>
      <c r="BS27" s="46">
        <f t="shared" si="26"/>
        <v>77.95</v>
      </c>
      <c r="BT27" s="46">
        <f t="shared" si="27"/>
        <v>83.92</v>
      </c>
      <c r="BU27" s="46">
        <f t="shared" si="28"/>
        <v>80.72</v>
      </c>
      <c r="BV27" s="46">
        <v>21465</v>
      </c>
      <c r="BW27" s="46">
        <v>5695</v>
      </c>
      <c r="BX27" s="46">
        <f t="shared" si="29"/>
        <v>27160</v>
      </c>
      <c r="BY27" s="46">
        <v>5467</v>
      </c>
      <c r="BZ27" s="46">
        <v>1766</v>
      </c>
      <c r="CA27" s="46">
        <f t="shared" si="76"/>
        <v>7233</v>
      </c>
      <c r="CB27" s="46">
        <v>1416</v>
      </c>
      <c r="CC27" s="46">
        <v>329</v>
      </c>
      <c r="CD27" s="46">
        <f t="shared" si="31"/>
        <v>1745</v>
      </c>
      <c r="CE27" s="46">
        <v>806</v>
      </c>
      <c r="CF27" s="46">
        <v>316</v>
      </c>
      <c r="CG27" s="46">
        <f t="shared" si="77"/>
        <v>1122</v>
      </c>
      <c r="CH27" s="46">
        <v>154</v>
      </c>
      <c r="CI27" s="46">
        <v>49</v>
      </c>
      <c r="CJ27" s="46">
        <f t="shared" si="33"/>
        <v>203</v>
      </c>
      <c r="CK27" s="46">
        <v>42</v>
      </c>
      <c r="CL27" s="46">
        <v>12</v>
      </c>
      <c r="CM27" s="46">
        <f t="shared" si="34"/>
        <v>54</v>
      </c>
      <c r="CN27" s="46">
        <v>2016</v>
      </c>
      <c r="CO27" s="46">
        <v>689</v>
      </c>
      <c r="CP27" s="46">
        <f t="shared" si="35"/>
        <v>2705</v>
      </c>
      <c r="CQ27" s="46">
        <v>471</v>
      </c>
      <c r="CR27" s="46">
        <v>177</v>
      </c>
      <c r="CS27" s="46">
        <f t="shared" si="36"/>
        <v>648</v>
      </c>
      <c r="CT27" s="46">
        <v>135</v>
      </c>
      <c r="CU27" s="46">
        <v>40</v>
      </c>
      <c r="CV27" s="46">
        <f t="shared" si="37"/>
        <v>175</v>
      </c>
      <c r="CW27" s="46">
        <f t="shared" si="68"/>
        <v>2822</v>
      </c>
      <c r="CX27" s="46">
        <f t="shared" si="69"/>
        <v>1005</v>
      </c>
      <c r="CY27" s="46">
        <f t="shared" si="39"/>
        <v>3827</v>
      </c>
      <c r="CZ27" s="28">
        <f t="shared" si="70"/>
        <v>625</v>
      </c>
      <c r="DA27" s="28">
        <f t="shared" si="71"/>
        <v>226</v>
      </c>
      <c r="DB27" s="2">
        <f t="shared" si="41"/>
        <v>851</v>
      </c>
      <c r="DC27" s="28">
        <f t="shared" si="72"/>
        <v>177</v>
      </c>
      <c r="DD27" s="28">
        <f t="shared" si="73"/>
        <v>52</v>
      </c>
      <c r="DE27" s="2">
        <f t="shared" si="43"/>
        <v>229</v>
      </c>
      <c r="DF27" s="46">
        <f t="shared" si="44"/>
        <v>13.15</v>
      </c>
      <c r="DG27" s="46">
        <f t="shared" si="45"/>
        <v>17.649999999999999</v>
      </c>
      <c r="DH27" s="46">
        <f t="shared" si="46"/>
        <v>14.09</v>
      </c>
      <c r="DI27" s="46">
        <f t="shared" si="47"/>
        <v>11.43</v>
      </c>
      <c r="DJ27" s="46">
        <f t="shared" si="48"/>
        <v>12.8</v>
      </c>
      <c r="DK27" s="46">
        <f t="shared" si="49"/>
        <v>11.77</v>
      </c>
      <c r="DL27" s="46">
        <f t="shared" si="50"/>
        <v>12.5</v>
      </c>
      <c r="DM27" s="46">
        <f t="shared" si="51"/>
        <v>15.81</v>
      </c>
      <c r="DN27" s="46">
        <f t="shared" si="52"/>
        <v>13.12</v>
      </c>
      <c r="DO27" s="46">
        <v>193561</v>
      </c>
      <c r="DP27" s="46">
        <v>233022</v>
      </c>
      <c r="DQ27" s="46">
        <f t="shared" si="53"/>
        <v>426583</v>
      </c>
      <c r="DR27" s="46">
        <v>30451</v>
      </c>
      <c r="DS27" s="46">
        <v>34325</v>
      </c>
      <c r="DT27" s="46">
        <f t="shared" si="54"/>
        <v>64776</v>
      </c>
      <c r="DU27" s="46">
        <v>11362</v>
      </c>
      <c r="DV27" s="46">
        <v>13302</v>
      </c>
      <c r="DW27" s="46">
        <f t="shared" si="55"/>
        <v>24664</v>
      </c>
      <c r="DX27" s="46">
        <v>91972</v>
      </c>
      <c r="DY27" s="46">
        <v>64028</v>
      </c>
      <c r="DZ27" s="46">
        <f t="shared" si="56"/>
        <v>156000</v>
      </c>
      <c r="EA27" s="46">
        <v>18621</v>
      </c>
      <c r="EB27" s="46">
        <v>14496</v>
      </c>
      <c r="EC27" s="46">
        <f t="shared" si="57"/>
        <v>33117</v>
      </c>
      <c r="ED27" s="46">
        <v>7489</v>
      </c>
      <c r="EE27" s="46">
        <v>5313</v>
      </c>
      <c r="EF27" s="46">
        <f t="shared" si="58"/>
        <v>12802</v>
      </c>
      <c r="EG27" s="46">
        <f t="shared" si="59"/>
        <v>0</v>
      </c>
      <c r="EH27" s="46">
        <f t="shared" si="60"/>
        <v>105247</v>
      </c>
      <c r="EI27" s="46">
        <f t="shared" si="61"/>
        <v>-115171</v>
      </c>
      <c r="EJ27" s="46">
        <f t="shared" si="62"/>
        <v>-25772</v>
      </c>
      <c r="EK27" s="46">
        <f t="shared" si="63"/>
        <v>-9627</v>
      </c>
    </row>
    <row r="28" spans="1:142" ht="33.75" customHeight="1" x14ac:dyDescent="0.25">
      <c r="A28" s="51">
        <v>31</v>
      </c>
      <c r="B28" s="44" t="s">
        <v>110</v>
      </c>
      <c r="C28" s="55" t="s">
        <v>75</v>
      </c>
      <c r="D28" s="66" t="s">
        <v>75</v>
      </c>
      <c r="E28" s="66" t="s">
        <v>75</v>
      </c>
      <c r="F28" s="66" t="s">
        <v>75</v>
      </c>
      <c r="G28" s="66" t="s">
        <v>75</v>
      </c>
      <c r="H28" s="57">
        <v>0</v>
      </c>
      <c r="I28" s="57">
        <v>0</v>
      </c>
      <c r="J28" s="57">
        <v>0</v>
      </c>
      <c r="K28" s="57">
        <f t="shared" si="0"/>
        <v>0</v>
      </c>
      <c r="L28" s="57">
        <v>0</v>
      </c>
      <c r="M28" s="57">
        <v>0</v>
      </c>
      <c r="N28" s="57">
        <v>0</v>
      </c>
      <c r="O28" s="57">
        <f t="shared" si="1"/>
        <v>0</v>
      </c>
      <c r="P28" s="57">
        <v>0</v>
      </c>
      <c r="Q28" s="57">
        <v>0</v>
      </c>
      <c r="R28" s="57">
        <v>0</v>
      </c>
      <c r="S28" s="57">
        <f t="shared" si="2"/>
        <v>0</v>
      </c>
      <c r="T28" s="57" t="e">
        <f t="shared" si="3"/>
        <v>#DIV/0!</v>
      </c>
      <c r="U28" s="57">
        <v>0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7">
        <v>0</v>
      </c>
      <c r="AB28" s="60">
        <f t="shared" si="4"/>
        <v>0</v>
      </c>
      <c r="AC28" s="57">
        <v>231537</v>
      </c>
      <c r="AD28" s="57">
        <v>223916</v>
      </c>
      <c r="AE28" s="57">
        <f t="shared" si="5"/>
        <v>455453</v>
      </c>
      <c r="AF28" s="57">
        <v>23902</v>
      </c>
      <c r="AG28" s="57">
        <v>22842</v>
      </c>
      <c r="AH28" s="57">
        <f t="shared" si="6"/>
        <v>46744</v>
      </c>
      <c r="AI28" s="57">
        <v>4264</v>
      </c>
      <c r="AJ28" s="57">
        <v>4192</v>
      </c>
      <c r="AK28" s="57">
        <f t="shared" si="7"/>
        <v>8456</v>
      </c>
      <c r="AL28" s="57">
        <v>220053</v>
      </c>
      <c r="AM28" s="57">
        <v>217103</v>
      </c>
      <c r="AN28" s="57">
        <f t="shared" si="8"/>
        <v>437156</v>
      </c>
      <c r="AO28" s="57">
        <v>21533</v>
      </c>
      <c r="AP28" s="57">
        <v>21493</v>
      </c>
      <c r="AQ28" s="57">
        <f t="shared" si="9"/>
        <v>43026</v>
      </c>
      <c r="AR28" s="57">
        <v>3482</v>
      </c>
      <c r="AS28" s="57">
        <v>3514</v>
      </c>
      <c r="AT28" s="57">
        <f t="shared" si="10"/>
        <v>6996</v>
      </c>
      <c r="AU28" s="57">
        <v>7454</v>
      </c>
      <c r="AV28" s="57">
        <v>4715</v>
      </c>
      <c r="AW28" s="57">
        <f t="shared" si="11"/>
        <v>12169</v>
      </c>
      <c r="AX28" s="57">
        <v>1437</v>
      </c>
      <c r="AY28" s="57">
        <v>956</v>
      </c>
      <c r="AZ28" s="57">
        <f t="shared" si="12"/>
        <v>2393</v>
      </c>
      <c r="BA28" s="57">
        <v>289</v>
      </c>
      <c r="BB28" s="57">
        <v>313</v>
      </c>
      <c r="BC28" s="57">
        <f t="shared" si="13"/>
        <v>602</v>
      </c>
      <c r="BD28" s="57">
        <f t="shared" si="75"/>
        <v>227507</v>
      </c>
      <c r="BE28" s="57">
        <f t="shared" si="74"/>
        <v>221818</v>
      </c>
      <c r="BF28" s="57">
        <f t="shared" si="15"/>
        <v>449325</v>
      </c>
      <c r="BG28" s="57">
        <f t="shared" si="64"/>
        <v>22970</v>
      </c>
      <c r="BH28" s="57">
        <f t="shared" si="65"/>
        <v>22449</v>
      </c>
      <c r="BI28" s="57">
        <f t="shared" si="17"/>
        <v>45419</v>
      </c>
      <c r="BJ28" s="46">
        <f t="shared" si="66"/>
        <v>3771</v>
      </c>
      <c r="BK28" s="46">
        <f t="shared" si="67"/>
        <v>3827</v>
      </c>
      <c r="BL28" s="46">
        <f t="shared" si="19"/>
        <v>7598</v>
      </c>
      <c r="BM28" s="57">
        <f t="shared" si="20"/>
        <v>98.26</v>
      </c>
      <c r="BN28" s="57">
        <f t="shared" si="21"/>
        <v>99.06</v>
      </c>
      <c r="BO28" s="57">
        <f t="shared" si="22"/>
        <v>98.65</v>
      </c>
      <c r="BP28" s="57">
        <f t="shared" si="23"/>
        <v>96.1</v>
      </c>
      <c r="BQ28" s="57">
        <f t="shared" si="24"/>
        <v>98.28</v>
      </c>
      <c r="BR28" s="57">
        <f t="shared" si="25"/>
        <v>97.17</v>
      </c>
      <c r="BS28" s="57">
        <f t="shared" si="26"/>
        <v>88.44</v>
      </c>
      <c r="BT28" s="57">
        <f t="shared" si="27"/>
        <v>91.29</v>
      </c>
      <c r="BU28" s="57">
        <f t="shared" si="28"/>
        <v>89.85</v>
      </c>
      <c r="BV28" s="57">
        <v>1953</v>
      </c>
      <c r="BW28" s="57">
        <v>685</v>
      </c>
      <c r="BX28" s="57">
        <f t="shared" si="29"/>
        <v>2638</v>
      </c>
      <c r="BY28" s="57">
        <v>0</v>
      </c>
      <c r="BZ28" s="57">
        <v>0</v>
      </c>
      <c r="CA28" s="57">
        <f t="shared" si="76"/>
        <v>0</v>
      </c>
      <c r="CB28" s="57">
        <v>0</v>
      </c>
      <c r="CC28" s="57">
        <v>0</v>
      </c>
      <c r="CD28" s="57">
        <f t="shared" si="31"/>
        <v>0</v>
      </c>
      <c r="CE28" s="57">
        <v>991</v>
      </c>
      <c r="CF28" s="57">
        <v>396</v>
      </c>
      <c r="CG28" s="57">
        <f t="shared" si="77"/>
        <v>1387</v>
      </c>
      <c r="CH28" s="57">
        <v>0</v>
      </c>
      <c r="CI28" s="57">
        <v>0</v>
      </c>
      <c r="CJ28" s="57">
        <f t="shared" si="33"/>
        <v>0</v>
      </c>
      <c r="CK28" s="57">
        <v>0</v>
      </c>
      <c r="CL28" s="57">
        <v>0</v>
      </c>
      <c r="CM28" s="57">
        <f t="shared" si="34"/>
        <v>0</v>
      </c>
      <c r="CN28" s="57">
        <v>0</v>
      </c>
      <c r="CO28" s="57">
        <v>0</v>
      </c>
      <c r="CP28" s="57">
        <f t="shared" si="35"/>
        <v>0</v>
      </c>
      <c r="CQ28" s="57">
        <v>0</v>
      </c>
      <c r="CR28" s="57">
        <v>0</v>
      </c>
      <c r="CS28" s="57">
        <f t="shared" si="36"/>
        <v>0</v>
      </c>
      <c r="CT28" s="57">
        <v>0</v>
      </c>
      <c r="CU28" s="57">
        <v>0</v>
      </c>
      <c r="CV28" s="57">
        <f t="shared" si="37"/>
        <v>0</v>
      </c>
      <c r="CW28" s="46">
        <f t="shared" si="68"/>
        <v>991</v>
      </c>
      <c r="CX28" s="46">
        <f t="shared" si="69"/>
        <v>396</v>
      </c>
      <c r="CY28" s="46">
        <f t="shared" si="39"/>
        <v>1387</v>
      </c>
      <c r="CZ28" s="28">
        <f t="shared" si="70"/>
        <v>0</v>
      </c>
      <c r="DA28" s="28">
        <f t="shared" si="71"/>
        <v>0</v>
      </c>
      <c r="DB28" s="2">
        <f t="shared" si="41"/>
        <v>0</v>
      </c>
      <c r="DC28" s="28">
        <f t="shared" si="72"/>
        <v>0</v>
      </c>
      <c r="DD28" s="28">
        <f t="shared" si="73"/>
        <v>0</v>
      </c>
      <c r="DE28" s="2">
        <f t="shared" si="43"/>
        <v>0</v>
      </c>
      <c r="DF28" s="57">
        <f t="shared" si="44"/>
        <v>50.74</v>
      </c>
      <c r="DG28" s="57">
        <f t="shared" si="45"/>
        <v>57.81</v>
      </c>
      <c r="DH28" s="57">
        <f t="shared" si="46"/>
        <v>52.58</v>
      </c>
      <c r="DI28" s="57" t="e">
        <f t="shared" si="47"/>
        <v>#DIV/0!</v>
      </c>
      <c r="DJ28" s="57" t="e">
        <f t="shared" si="48"/>
        <v>#DIV/0!</v>
      </c>
      <c r="DK28" s="57" t="e">
        <f t="shared" si="49"/>
        <v>#DIV/0!</v>
      </c>
      <c r="DL28" s="57" t="e">
        <f t="shared" si="50"/>
        <v>#DIV/0!</v>
      </c>
      <c r="DM28" s="57" t="e">
        <f t="shared" si="51"/>
        <v>#DIV/0!</v>
      </c>
      <c r="DN28" s="57" t="e">
        <f t="shared" si="52"/>
        <v>#DIV/0!</v>
      </c>
      <c r="DO28" s="57">
        <v>0</v>
      </c>
      <c r="DP28" s="57">
        <v>0</v>
      </c>
      <c r="DQ28" s="57">
        <v>72371</v>
      </c>
      <c r="DR28" s="57">
        <v>0</v>
      </c>
      <c r="DS28" s="57">
        <v>0</v>
      </c>
      <c r="DT28" s="57">
        <v>1409</v>
      </c>
      <c r="DU28" s="57">
        <v>0</v>
      </c>
      <c r="DV28" s="57">
        <v>0</v>
      </c>
      <c r="DW28" s="57">
        <v>112</v>
      </c>
      <c r="DX28" s="57">
        <v>0</v>
      </c>
      <c r="DY28" s="57">
        <v>0</v>
      </c>
      <c r="DZ28" s="57">
        <v>120478</v>
      </c>
      <c r="EA28" s="57">
        <v>0</v>
      </c>
      <c r="EB28" s="57">
        <v>0</v>
      </c>
      <c r="EC28" s="57">
        <v>2948</v>
      </c>
      <c r="ED28" s="57">
        <v>0</v>
      </c>
      <c r="EE28" s="57">
        <v>0</v>
      </c>
      <c r="EF28" s="57">
        <v>282</v>
      </c>
      <c r="EG28" s="57">
        <f t="shared" si="59"/>
        <v>-458091</v>
      </c>
      <c r="EH28" s="57">
        <f t="shared" si="60"/>
        <v>-450712</v>
      </c>
      <c r="EI28" s="57">
        <f t="shared" si="61"/>
        <v>-257863</v>
      </c>
      <c r="EJ28" s="57">
        <f t="shared" si="62"/>
        <v>-41062</v>
      </c>
      <c r="EK28" s="57">
        <f t="shared" si="63"/>
        <v>-7204</v>
      </c>
    </row>
    <row r="29" spans="1:142" ht="48.75" customHeight="1" x14ac:dyDescent="0.25">
      <c r="A29" s="76"/>
      <c r="B29" s="35" t="s">
        <v>84</v>
      </c>
      <c r="C29" s="27" t="s">
        <v>57</v>
      </c>
      <c r="D29" s="63">
        <v>42796</v>
      </c>
      <c r="E29" s="63">
        <v>42821</v>
      </c>
      <c r="F29" s="81">
        <v>42921</v>
      </c>
      <c r="G29" s="81">
        <v>42929</v>
      </c>
      <c r="H29" s="6">
        <v>7449</v>
      </c>
      <c r="I29" s="6">
        <v>0</v>
      </c>
      <c r="J29" s="6">
        <v>6122</v>
      </c>
      <c r="K29" s="2">
        <f t="shared" si="0"/>
        <v>13571</v>
      </c>
      <c r="L29" s="6">
        <v>688078</v>
      </c>
      <c r="M29" s="6">
        <v>0</v>
      </c>
      <c r="N29" s="6">
        <v>421313</v>
      </c>
      <c r="O29" s="2">
        <f t="shared" si="1"/>
        <v>1109391</v>
      </c>
      <c r="P29" s="6">
        <v>348586</v>
      </c>
      <c r="Q29" s="6">
        <v>0</v>
      </c>
      <c r="R29" s="6">
        <v>242132</v>
      </c>
      <c r="S29" s="2">
        <f t="shared" si="2"/>
        <v>590718</v>
      </c>
      <c r="T29" s="15">
        <f t="shared" si="3"/>
        <v>53.25</v>
      </c>
      <c r="U29" s="6">
        <v>204</v>
      </c>
      <c r="V29" s="6">
        <v>640</v>
      </c>
      <c r="W29" s="6">
        <v>1096</v>
      </c>
      <c r="X29" s="6">
        <v>1418</v>
      </c>
      <c r="Y29" s="6">
        <v>1822</v>
      </c>
      <c r="Z29" s="6">
        <v>1972</v>
      </c>
      <c r="AA29" s="6">
        <v>6419</v>
      </c>
      <c r="AB29" s="29">
        <f t="shared" si="4"/>
        <v>0</v>
      </c>
      <c r="AC29" s="30">
        <v>429145</v>
      </c>
      <c r="AD29" s="30">
        <v>365929</v>
      </c>
      <c r="AE29" s="2">
        <f t="shared" si="5"/>
        <v>795074</v>
      </c>
      <c r="AF29" s="31">
        <v>77057</v>
      </c>
      <c r="AG29" s="31">
        <v>58109</v>
      </c>
      <c r="AH29" s="2">
        <f t="shared" si="6"/>
        <v>135166</v>
      </c>
      <c r="AI29" s="31">
        <v>56150</v>
      </c>
      <c r="AJ29" s="31">
        <v>58366</v>
      </c>
      <c r="AK29" s="2">
        <f t="shared" si="7"/>
        <v>114516</v>
      </c>
      <c r="AL29" s="30">
        <v>207979</v>
      </c>
      <c r="AM29" s="30">
        <v>188015</v>
      </c>
      <c r="AN29" s="2">
        <f t="shared" si="8"/>
        <v>395994</v>
      </c>
      <c r="AO29" s="31">
        <v>33398</v>
      </c>
      <c r="AP29" s="31">
        <v>26185</v>
      </c>
      <c r="AQ29" s="2">
        <f t="shared" si="9"/>
        <v>59583</v>
      </c>
      <c r="AR29" s="31">
        <v>24925</v>
      </c>
      <c r="AS29" s="31">
        <v>23675</v>
      </c>
      <c r="AT29" s="2">
        <f t="shared" si="10"/>
        <v>48600</v>
      </c>
      <c r="AU29" s="31">
        <v>62637</v>
      </c>
      <c r="AV29" s="31">
        <v>61994</v>
      </c>
      <c r="AW29" s="2">
        <f t="shared" si="11"/>
        <v>124631</v>
      </c>
      <c r="AX29" s="31">
        <v>11212</v>
      </c>
      <c r="AY29" s="31">
        <v>10359</v>
      </c>
      <c r="AZ29" s="2">
        <f t="shared" si="12"/>
        <v>21571</v>
      </c>
      <c r="BA29" s="31">
        <v>8174</v>
      </c>
      <c r="BB29" s="31">
        <v>9909</v>
      </c>
      <c r="BC29" s="2">
        <f t="shared" si="13"/>
        <v>18083</v>
      </c>
      <c r="BD29" s="28">
        <f t="shared" si="75"/>
        <v>270616</v>
      </c>
      <c r="BE29" s="28">
        <f t="shared" si="74"/>
        <v>250009</v>
      </c>
      <c r="BF29" s="2">
        <f t="shared" si="15"/>
        <v>520625</v>
      </c>
      <c r="BG29" s="28">
        <f t="shared" si="64"/>
        <v>44610</v>
      </c>
      <c r="BH29" s="28">
        <f t="shared" si="65"/>
        <v>36544</v>
      </c>
      <c r="BI29" s="2">
        <f t="shared" si="17"/>
        <v>81154</v>
      </c>
      <c r="BJ29" s="28">
        <f t="shared" si="66"/>
        <v>33099</v>
      </c>
      <c r="BK29" s="28">
        <f t="shared" si="67"/>
        <v>33584</v>
      </c>
      <c r="BL29" s="2">
        <f t="shared" si="19"/>
        <v>66683</v>
      </c>
      <c r="BM29" s="28">
        <f t="shared" si="20"/>
        <v>63.06</v>
      </c>
      <c r="BN29" s="28">
        <f t="shared" si="21"/>
        <v>68.319999999999993</v>
      </c>
      <c r="BO29" s="28">
        <f t="shared" si="22"/>
        <v>65.48</v>
      </c>
      <c r="BP29" s="28">
        <f t="shared" si="23"/>
        <v>57.89</v>
      </c>
      <c r="BQ29" s="28">
        <f t="shared" si="24"/>
        <v>62.89</v>
      </c>
      <c r="BR29" s="28">
        <f t="shared" si="25"/>
        <v>60.04</v>
      </c>
      <c r="BS29" s="61">
        <f t="shared" si="26"/>
        <v>58.95</v>
      </c>
      <c r="BT29" s="61">
        <f t="shared" si="27"/>
        <v>57.54</v>
      </c>
      <c r="BU29" s="61">
        <f t="shared" si="28"/>
        <v>58.23</v>
      </c>
      <c r="BV29" s="30">
        <v>184192</v>
      </c>
      <c r="BW29" s="30">
        <v>130125</v>
      </c>
      <c r="BX29" s="2">
        <f t="shared" si="29"/>
        <v>314317</v>
      </c>
      <c r="BY29" s="31">
        <v>37649</v>
      </c>
      <c r="BZ29" s="31">
        <v>26543</v>
      </c>
      <c r="CA29" s="2">
        <f t="shared" si="76"/>
        <v>64192</v>
      </c>
      <c r="CB29" s="31">
        <v>41680</v>
      </c>
      <c r="CC29" s="31">
        <v>33256</v>
      </c>
      <c r="CD29" s="2">
        <f t="shared" si="31"/>
        <v>74936</v>
      </c>
      <c r="CE29" s="30">
        <v>19827</v>
      </c>
      <c r="CF29" s="30">
        <v>13154</v>
      </c>
      <c r="CG29" s="2">
        <f t="shared" si="77"/>
        <v>32981</v>
      </c>
      <c r="CH29" s="31">
        <v>3903</v>
      </c>
      <c r="CI29" s="31">
        <v>2486</v>
      </c>
      <c r="CJ29" s="2">
        <f t="shared" si="33"/>
        <v>6389</v>
      </c>
      <c r="CK29" s="31">
        <v>3927</v>
      </c>
      <c r="CL29" s="31">
        <v>2839</v>
      </c>
      <c r="CM29" s="2">
        <f t="shared" si="34"/>
        <v>6766</v>
      </c>
      <c r="CN29" s="87">
        <v>19999</v>
      </c>
      <c r="CO29" s="87">
        <v>17113</v>
      </c>
      <c r="CP29" s="58">
        <f t="shared" si="35"/>
        <v>37112</v>
      </c>
      <c r="CQ29" s="87">
        <v>3968</v>
      </c>
      <c r="CR29" s="87">
        <v>3369</v>
      </c>
      <c r="CS29" s="58">
        <f t="shared" si="36"/>
        <v>7337</v>
      </c>
      <c r="CT29" s="87">
        <v>3975</v>
      </c>
      <c r="CU29" s="87">
        <v>3548</v>
      </c>
      <c r="CV29" s="58">
        <f t="shared" si="37"/>
        <v>7523</v>
      </c>
      <c r="CW29" s="28">
        <f t="shared" si="68"/>
        <v>39826</v>
      </c>
      <c r="CX29" s="28">
        <f t="shared" si="69"/>
        <v>30267</v>
      </c>
      <c r="CY29" s="2">
        <f t="shared" si="39"/>
        <v>70093</v>
      </c>
      <c r="CZ29" s="28">
        <f t="shared" si="70"/>
        <v>7871</v>
      </c>
      <c r="DA29" s="28">
        <f t="shared" si="71"/>
        <v>5855</v>
      </c>
      <c r="DB29" s="2">
        <f t="shared" si="41"/>
        <v>13726</v>
      </c>
      <c r="DC29" s="28">
        <f t="shared" si="72"/>
        <v>7902</v>
      </c>
      <c r="DD29" s="28">
        <f t="shared" si="73"/>
        <v>6387</v>
      </c>
      <c r="DE29" s="2">
        <f t="shared" si="43"/>
        <v>14289</v>
      </c>
      <c r="DF29" s="61">
        <f t="shared" si="44"/>
        <v>21.62</v>
      </c>
      <c r="DG29" s="61">
        <f t="shared" si="45"/>
        <v>23.26</v>
      </c>
      <c r="DH29" s="61">
        <f t="shared" si="46"/>
        <v>22.3</v>
      </c>
      <c r="DI29" s="61">
        <f t="shared" si="47"/>
        <v>20.91</v>
      </c>
      <c r="DJ29" s="61">
        <f t="shared" si="48"/>
        <v>22.06</v>
      </c>
      <c r="DK29" s="61">
        <f t="shared" si="49"/>
        <v>21.38</v>
      </c>
      <c r="DL29" s="61">
        <f t="shared" si="50"/>
        <v>18.96</v>
      </c>
      <c r="DM29" s="61">
        <f t="shared" si="51"/>
        <v>19.21</v>
      </c>
      <c r="DN29" s="61">
        <f t="shared" si="52"/>
        <v>19.07</v>
      </c>
      <c r="DO29" s="32">
        <v>107790</v>
      </c>
      <c r="DP29" s="32">
        <v>104394</v>
      </c>
      <c r="DQ29" s="58">
        <f t="shared" ref="DQ29:DQ50" si="78">DO29+DP29</f>
        <v>212184</v>
      </c>
      <c r="DR29" s="32">
        <v>15997</v>
      </c>
      <c r="DS29" s="32">
        <v>13136</v>
      </c>
      <c r="DT29" s="2">
        <f t="shared" ref="DT29:DT50" si="79">DR29+DS29</f>
        <v>29133</v>
      </c>
      <c r="DU29" s="32">
        <v>9372</v>
      </c>
      <c r="DV29" s="32">
        <v>8340</v>
      </c>
      <c r="DW29" s="2">
        <f t="shared" ref="DW29:DW50" si="80">DU29+DV29</f>
        <v>17712</v>
      </c>
      <c r="DX29" s="32">
        <v>202652</v>
      </c>
      <c r="DY29" s="32">
        <v>175882</v>
      </c>
      <c r="DZ29" s="58">
        <f t="shared" ref="DZ29:DZ50" si="81">DX29+DY29</f>
        <v>378534</v>
      </c>
      <c r="EA29" s="32">
        <v>36484</v>
      </c>
      <c r="EB29" s="32">
        <v>29263</v>
      </c>
      <c r="EC29" s="2">
        <f t="shared" ref="EC29:EC50" si="82">EA29+EB29</f>
        <v>65747</v>
      </c>
      <c r="ED29" s="32">
        <v>31629</v>
      </c>
      <c r="EE29" s="32">
        <v>31631</v>
      </c>
      <c r="EF29" s="2">
        <f t="shared" ref="EF29:EF50" si="83">ED29+EE29</f>
        <v>63260</v>
      </c>
      <c r="EG29" s="91">
        <f t="shared" si="59"/>
        <v>0</v>
      </c>
      <c r="EH29" s="91">
        <f t="shared" si="60"/>
        <v>0</v>
      </c>
      <c r="EI29" s="91">
        <f>DQ30+DZ29-CY29-BF29</f>
        <v>-212184</v>
      </c>
      <c r="EJ29" s="91">
        <f t="shared" si="62"/>
        <v>0</v>
      </c>
      <c r="EK29" s="91">
        <f t="shared" si="63"/>
        <v>0</v>
      </c>
      <c r="EL29" s="34"/>
    </row>
    <row r="30" spans="1:142" ht="28.5" x14ac:dyDescent="0.25">
      <c r="A30" s="76">
        <v>11</v>
      </c>
      <c r="B30" s="27" t="s">
        <v>67</v>
      </c>
      <c r="C30" s="27" t="s">
        <v>68</v>
      </c>
      <c r="D30" s="63">
        <v>42837</v>
      </c>
      <c r="E30" s="63">
        <v>42845</v>
      </c>
      <c r="F30" s="81">
        <v>42930</v>
      </c>
      <c r="G30" s="81">
        <v>42936</v>
      </c>
      <c r="H30" s="6">
        <v>29</v>
      </c>
      <c r="I30" s="6">
        <v>0</v>
      </c>
      <c r="J30" s="6">
        <v>139</v>
      </c>
      <c r="K30" s="2">
        <f t="shared" si="0"/>
        <v>168</v>
      </c>
      <c r="L30" s="6">
        <v>316</v>
      </c>
      <c r="M30" s="6">
        <v>0</v>
      </c>
      <c r="N30" s="6">
        <v>1538</v>
      </c>
      <c r="O30" s="2">
        <f t="shared" si="1"/>
        <v>1854</v>
      </c>
      <c r="P30" s="6">
        <v>203</v>
      </c>
      <c r="Q30" s="6">
        <v>0</v>
      </c>
      <c r="R30" s="6">
        <v>649</v>
      </c>
      <c r="S30" s="2">
        <f t="shared" si="2"/>
        <v>852</v>
      </c>
      <c r="T30" s="15">
        <f t="shared" si="3"/>
        <v>45.95</v>
      </c>
      <c r="U30" s="6"/>
      <c r="V30" s="6"/>
      <c r="W30" s="6"/>
      <c r="X30" s="6"/>
      <c r="Y30" s="6"/>
      <c r="Z30" s="6"/>
      <c r="AA30" s="6"/>
      <c r="AB30" s="29">
        <f t="shared" si="4"/>
        <v>168</v>
      </c>
      <c r="AC30" s="30">
        <v>1406</v>
      </c>
      <c r="AD30" s="30">
        <v>448</v>
      </c>
      <c r="AE30" s="2">
        <f t="shared" si="5"/>
        <v>1854</v>
      </c>
      <c r="AF30" s="31">
        <v>104</v>
      </c>
      <c r="AG30" s="31">
        <v>71</v>
      </c>
      <c r="AH30" s="2">
        <f t="shared" si="6"/>
        <v>175</v>
      </c>
      <c r="AI30" s="31">
        <v>52</v>
      </c>
      <c r="AJ30" s="31">
        <v>56</v>
      </c>
      <c r="AK30" s="2">
        <f t="shared" si="7"/>
        <v>108</v>
      </c>
      <c r="AL30" s="30">
        <v>519</v>
      </c>
      <c r="AM30" s="30">
        <v>32</v>
      </c>
      <c r="AN30" s="2">
        <f t="shared" si="8"/>
        <v>551</v>
      </c>
      <c r="AO30" s="31">
        <v>11</v>
      </c>
      <c r="AP30" s="31">
        <v>5</v>
      </c>
      <c r="AQ30" s="2">
        <f t="shared" si="9"/>
        <v>16</v>
      </c>
      <c r="AR30" s="31">
        <v>1</v>
      </c>
      <c r="AS30" s="31">
        <v>2</v>
      </c>
      <c r="AT30" s="2">
        <f t="shared" si="10"/>
        <v>3</v>
      </c>
      <c r="AU30" s="31">
        <v>560</v>
      </c>
      <c r="AV30" s="31">
        <v>303</v>
      </c>
      <c r="AW30" s="2">
        <f t="shared" si="11"/>
        <v>863</v>
      </c>
      <c r="AX30" s="31">
        <v>64</v>
      </c>
      <c r="AY30" s="31">
        <v>45</v>
      </c>
      <c r="AZ30" s="2">
        <f t="shared" si="12"/>
        <v>109</v>
      </c>
      <c r="BA30" s="31">
        <v>36</v>
      </c>
      <c r="BB30" s="31">
        <v>44</v>
      </c>
      <c r="BC30" s="2">
        <f t="shared" si="13"/>
        <v>80</v>
      </c>
      <c r="BD30" s="28">
        <f t="shared" si="75"/>
        <v>1079</v>
      </c>
      <c r="BE30" s="28">
        <f t="shared" si="74"/>
        <v>335</v>
      </c>
      <c r="BF30" s="2">
        <f t="shared" si="15"/>
        <v>1414</v>
      </c>
      <c r="BG30" s="28">
        <f t="shared" si="64"/>
        <v>75</v>
      </c>
      <c r="BH30" s="28">
        <f t="shared" si="65"/>
        <v>50</v>
      </c>
      <c r="BI30" s="2">
        <f t="shared" si="17"/>
        <v>125</v>
      </c>
      <c r="BJ30" s="28">
        <f t="shared" si="66"/>
        <v>37</v>
      </c>
      <c r="BK30" s="28">
        <f t="shared" si="67"/>
        <v>46</v>
      </c>
      <c r="BL30" s="2">
        <f t="shared" si="19"/>
        <v>83</v>
      </c>
      <c r="BM30" s="28">
        <f t="shared" si="20"/>
        <v>76.739999999999995</v>
      </c>
      <c r="BN30" s="28">
        <f t="shared" si="21"/>
        <v>74.78</v>
      </c>
      <c r="BO30" s="28">
        <f t="shared" si="22"/>
        <v>76.27</v>
      </c>
      <c r="BP30" s="28">
        <f t="shared" si="23"/>
        <v>72.12</v>
      </c>
      <c r="BQ30" s="28">
        <f t="shared" si="24"/>
        <v>70.42</v>
      </c>
      <c r="BR30" s="28">
        <f t="shared" si="25"/>
        <v>71.430000000000007</v>
      </c>
      <c r="BS30" s="61">
        <f t="shared" si="26"/>
        <v>71.150000000000006</v>
      </c>
      <c r="BT30" s="61">
        <f t="shared" si="27"/>
        <v>82.14</v>
      </c>
      <c r="BU30" s="61">
        <f t="shared" si="28"/>
        <v>76.849999999999994</v>
      </c>
      <c r="BV30" s="30">
        <v>0</v>
      </c>
      <c r="BW30" s="30">
        <v>0</v>
      </c>
      <c r="BX30" s="2">
        <f t="shared" si="29"/>
        <v>0</v>
      </c>
      <c r="BY30" s="31">
        <v>0</v>
      </c>
      <c r="BZ30" s="31">
        <v>0</v>
      </c>
      <c r="CA30" s="2">
        <f t="shared" si="76"/>
        <v>0</v>
      </c>
      <c r="CB30" s="31">
        <v>0</v>
      </c>
      <c r="CC30" s="31">
        <v>0</v>
      </c>
      <c r="CD30" s="2">
        <f t="shared" si="31"/>
        <v>0</v>
      </c>
      <c r="CE30" s="31">
        <v>0</v>
      </c>
      <c r="CF30" s="31">
        <v>0</v>
      </c>
      <c r="CG30" s="2">
        <f t="shared" si="77"/>
        <v>0</v>
      </c>
      <c r="CH30" s="31">
        <v>0</v>
      </c>
      <c r="CI30" s="31">
        <v>0</v>
      </c>
      <c r="CJ30" s="2">
        <f t="shared" si="33"/>
        <v>0</v>
      </c>
      <c r="CK30" s="31">
        <v>0</v>
      </c>
      <c r="CL30" s="31">
        <v>0</v>
      </c>
      <c r="CM30" s="2">
        <f t="shared" si="34"/>
        <v>0</v>
      </c>
      <c r="CN30" s="89">
        <v>0</v>
      </c>
      <c r="CO30" s="89">
        <v>0</v>
      </c>
      <c r="CP30" s="58">
        <f t="shared" si="35"/>
        <v>0</v>
      </c>
      <c r="CQ30" s="87">
        <v>0</v>
      </c>
      <c r="CR30" s="87">
        <v>0</v>
      </c>
      <c r="CS30" s="58">
        <f t="shared" si="36"/>
        <v>0</v>
      </c>
      <c r="CT30" s="87">
        <v>0</v>
      </c>
      <c r="CU30" s="87">
        <v>0</v>
      </c>
      <c r="CV30" s="58">
        <f t="shared" si="37"/>
        <v>0</v>
      </c>
      <c r="CW30" s="28">
        <f t="shared" si="68"/>
        <v>0</v>
      </c>
      <c r="CX30" s="28">
        <f t="shared" si="69"/>
        <v>0</v>
      </c>
      <c r="CY30" s="2">
        <f t="shared" si="39"/>
        <v>0</v>
      </c>
      <c r="CZ30" s="28">
        <f t="shared" si="70"/>
        <v>0</v>
      </c>
      <c r="DA30" s="28">
        <f t="shared" si="71"/>
        <v>0</v>
      </c>
      <c r="DB30" s="2">
        <f t="shared" si="41"/>
        <v>0</v>
      </c>
      <c r="DC30" s="28">
        <f t="shared" si="72"/>
        <v>0</v>
      </c>
      <c r="DD30" s="28">
        <f t="shared" si="73"/>
        <v>0</v>
      </c>
      <c r="DE30" s="2">
        <f t="shared" si="43"/>
        <v>0</v>
      </c>
      <c r="DF30" s="61" t="e">
        <f t="shared" si="44"/>
        <v>#DIV/0!</v>
      </c>
      <c r="DG30" s="61" t="e">
        <f t="shared" si="45"/>
        <v>#DIV/0!</v>
      </c>
      <c r="DH30" s="61" t="e">
        <f t="shared" si="46"/>
        <v>#DIV/0!</v>
      </c>
      <c r="DI30" s="61" t="e">
        <f t="shared" si="47"/>
        <v>#DIV/0!</v>
      </c>
      <c r="DJ30" s="61" t="e">
        <f t="shared" si="48"/>
        <v>#DIV/0!</v>
      </c>
      <c r="DK30" s="61" t="e">
        <f t="shared" si="49"/>
        <v>#DIV/0!</v>
      </c>
      <c r="DL30" s="61" t="e">
        <f t="shared" si="50"/>
        <v>#DIV/0!</v>
      </c>
      <c r="DM30" s="61" t="e">
        <f t="shared" si="51"/>
        <v>#DIV/0!</v>
      </c>
      <c r="DN30" s="61" t="e">
        <f t="shared" si="52"/>
        <v>#DIV/0!</v>
      </c>
      <c r="DO30" s="32"/>
      <c r="DP30" s="32"/>
      <c r="DQ30" s="2">
        <f t="shared" si="78"/>
        <v>0</v>
      </c>
      <c r="DR30" s="32"/>
      <c r="DS30" s="32"/>
      <c r="DT30" s="2">
        <f t="shared" si="79"/>
        <v>0</v>
      </c>
      <c r="DU30" s="32"/>
      <c r="DV30" s="32"/>
      <c r="DW30" s="2">
        <f t="shared" si="80"/>
        <v>0</v>
      </c>
      <c r="DX30" s="32"/>
      <c r="DY30" s="32"/>
      <c r="DZ30" s="2">
        <f t="shared" si="81"/>
        <v>0</v>
      </c>
      <c r="EA30" s="32"/>
      <c r="EB30" s="32"/>
      <c r="EC30" s="2">
        <f t="shared" si="82"/>
        <v>0</v>
      </c>
      <c r="ED30" s="32"/>
      <c r="EE30" s="32"/>
      <c r="EF30" s="2">
        <f t="shared" si="83"/>
        <v>0</v>
      </c>
      <c r="EG30" s="4">
        <f t="shared" si="59"/>
        <v>0</v>
      </c>
      <c r="EH30" s="91">
        <f t="shared" si="60"/>
        <v>-562</v>
      </c>
      <c r="EI30" s="4">
        <f>DQ31+DZ30-CY30-BF30</f>
        <v>896775</v>
      </c>
      <c r="EJ30" s="4">
        <f t="shared" si="62"/>
        <v>-125</v>
      </c>
      <c r="EK30" s="4">
        <f t="shared" si="63"/>
        <v>-83</v>
      </c>
      <c r="EL30" s="34"/>
    </row>
    <row r="31" spans="1:142" ht="30" x14ac:dyDescent="0.25">
      <c r="A31" s="51">
        <v>30</v>
      </c>
      <c r="B31" s="43" t="s">
        <v>107</v>
      </c>
      <c r="C31" s="48" t="s">
        <v>61</v>
      </c>
      <c r="D31" s="64">
        <v>42801</v>
      </c>
      <c r="E31" s="64">
        <v>42826</v>
      </c>
      <c r="F31" s="64">
        <v>42934</v>
      </c>
      <c r="G31" s="64">
        <v>42949</v>
      </c>
      <c r="H31" s="46">
        <v>0</v>
      </c>
      <c r="I31" s="46">
        <v>21684</v>
      </c>
      <c r="J31" s="46">
        <v>0</v>
      </c>
      <c r="K31" s="46">
        <f t="shared" si="0"/>
        <v>21684</v>
      </c>
      <c r="L31" s="46">
        <v>0</v>
      </c>
      <c r="M31" s="46">
        <v>1755005</v>
      </c>
      <c r="N31" s="46">
        <v>0</v>
      </c>
      <c r="O31" s="46">
        <f t="shared" si="1"/>
        <v>1755005</v>
      </c>
      <c r="P31" s="46">
        <v>0</v>
      </c>
      <c r="Q31" s="46">
        <v>1537034</v>
      </c>
      <c r="R31" s="46">
        <v>0</v>
      </c>
      <c r="S31" s="46">
        <f t="shared" si="2"/>
        <v>1537034</v>
      </c>
      <c r="T31" s="46">
        <f t="shared" si="3"/>
        <v>87.58</v>
      </c>
      <c r="U31" s="57">
        <v>3676</v>
      </c>
      <c r="V31" s="57">
        <v>8029</v>
      </c>
      <c r="W31" s="57">
        <v>5025</v>
      </c>
      <c r="X31" s="57">
        <v>2578</v>
      </c>
      <c r="Y31" s="57">
        <v>1154</v>
      </c>
      <c r="Z31" s="57">
        <v>581</v>
      </c>
      <c r="AA31" s="57">
        <v>641</v>
      </c>
      <c r="AB31" s="60">
        <f t="shared" si="4"/>
        <v>0</v>
      </c>
      <c r="AC31" s="46">
        <v>949323</v>
      </c>
      <c r="AD31" s="46">
        <v>759013</v>
      </c>
      <c r="AE31" s="46">
        <f t="shared" si="5"/>
        <v>1708336</v>
      </c>
      <c r="AF31" s="46">
        <v>138887</v>
      </c>
      <c r="AG31" s="46">
        <v>112343</v>
      </c>
      <c r="AH31" s="46">
        <f t="shared" si="6"/>
        <v>251230</v>
      </c>
      <c r="AI31" s="46">
        <v>83241</v>
      </c>
      <c r="AJ31" s="46">
        <v>66302</v>
      </c>
      <c r="AK31" s="46">
        <f t="shared" si="7"/>
        <v>149543</v>
      </c>
      <c r="AL31" s="46">
        <v>799260</v>
      </c>
      <c r="AM31" s="46">
        <v>685002</v>
      </c>
      <c r="AN31" s="46">
        <f t="shared" si="8"/>
        <v>1484262</v>
      </c>
      <c r="AO31" s="46">
        <v>108819</v>
      </c>
      <c r="AP31" s="46">
        <v>95959</v>
      </c>
      <c r="AQ31" s="46">
        <f t="shared" si="9"/>
        <v>204778</v>
      </c>
      <c r="AR31" s="46">
        <v>63430</v>
      </c>
      <c r="AS31" s="46">
        <v>54168</v>
      </c>
      <c r="AT31" s="46">
        <f t="shared" si="10"/>
        <v>117598</v>
      </c>
      <c r="AU31" s="46">
        <v>18565</v>
      </c>
      <c r="AV31" s="46">
        <v>9782</v>
      </c>
      <c r="AW31" s="46">
        <f t="shared" si="11"/>
        <v>28347</v>
      </c>
      <c r="AX31" s="46">
        <v>3795</v>
      </c>
      <c r="AY31" s="46">
        <v>2302</v>
      </c>
      <c r="AZ31" s="46">
        <f t="shared" si="12"/>
        <v>6097</v>
      </c>
      <c r="BA31" s="46">
        <v>1653</v>
      </c>
      <c r="BB31" s="46">
        <v>1083</v>
      </c>
      <c r="BC31" s="46">
        <f t="shared" si="13"/>
        <v>2736</v>
      </c>
      <c r="BD31" s="46">
        <f t="shared" si="75"/>
        <v>817825</v>
      </c>
      <c r="BE31" s="46">
        <f t="shared" si="74"/>
        <v>694784</v>
      </c>
      <c r="BF31" s="46">
        <f t="shared" si="15"/>
        <v>1512609</v>
      </c>
      <c r="BG31" s="46">
        <f t="shared" si="64"/>
        <v>112614</v>
      </c>
      <c r="BH31" s="46">
        <f t="shared" si="65"/>
        <v>98261</v>
      </c>
      <c r="BI31" s="46">
        <f t="shared" si="17"/>
        <v>210875</v>
      </c>
      <c r="BJ31" s="46">
        <f t="shared" si="66"/>
        <v>65083</v>
      </c>
      <c r="BK31" s="46">
        <f t="shared" si="67"/>
        <v>55251</v>
      </c>
      <c r="BL31" s="46">
        <f t="shared" si="19"/>
        <v>120334</v>
      </c>
      <c r="BM31" s="46">
        <f t="shared" si="20"/>
        <v>86.15</v>
      </c>
      <c r="BN31" s="46">
        <f t="shared" si="21"/>
        <v>91.54</v>
      </c>
      <c r="BO31" s="46">
        <f t="shared" si="22"/>
        <v>88.54</v>
      </c>
      <c r="BP31" s="46">
        <f t="shared" si="23"/>
        <v>81.08</v>
      </c>
      <c r="BQ31" s="46">
        <f t="shared" si="24"/>
        <v>87.47</v>
      </c>
      <c r="BR31" s="46">
        <f t="shared" si="25"/>
        <v>83.94</v>
      </c>
      <c r="BS31" s="46">
        <f t="shared" si="26"/>
        <v>78.19</v>
      </c>
      <c r="BT31" s="46">
        <f t="shared" si="27"/>
        <v>83.33</v>
      </c>
      <c r="BU31" s="46">
        <f t="shared" si="28"/>
        <v>80.47</v>
      </c>
      <c r="BV31" s="46">
        <v>33623</v>
      </c>
      <c r="BW31" s="46">
        <v>13046</v>
      </c>
      <c r="BX31" s="46">
        <f t="shared" si="29"/>
        <v>46669</v>
      </c>
      <c r="BY31" s="46">
        <v>4522</v>
      </c>
      <c r="BZ31" s="46">
        <v>1983</v>
      </c>
      <c r="CA31" s="46">
        <f t="shared" si="76"/>
        <v>6505</v>
      </c>
      <c r="CB31" s="46">
        <v>1560</v>
      </c>
      <c r="CC31" s="46">
        <v>695</v>
      </c>
      <c r="CD31" s="46">
        <f t="shared" si="31"/>
        <v>2255</v>
      </c>
      <c r="CE31" s="46">
        <v>14966</v>
      </c>
      <c r="CF31" s="46">
        <v>7251</v>
      </c>
      <c r="CG31" s="46">
        <f t="shared" si="77"/>
        <v>22217</v>
      </c>
      <c r="CH31" s="46">
        <v>1625</v>
      </c>
      <c r="CI31" s="46">
        <v>918</v>
      </c>
      <c r="CJ31" s="46">
        <f t="shared" si="33"/>
        <v>2543</v>
      </c>
      <c r="CK31" s="46">
        <v>684</v>
      </c>
      <c r="CL31" s="46">
        <v>383</v>
      </c>
      <c r="CM31" s="46">
        <f t="shared" si="34"/>
        <v>1067</v>
      </c>
      <c r="CN31" s="46">
        <v>1609</v>
      </c>
      <c r="CO31" s="46">
        <v>599</v>
      </c>
      <c r="CP31" s="46">
        <f t="shared" si="35"/>
        <v>2208</v>
      </c>
      <c r="CQ31" s="46">
        <v>267</v>
      </c>
      <c r="CR31" s="46">
        <v>108</v>
      </c>
      <c r="CS31" s="46">
        <f t="shared" si="36"/>
        <v>375</v>
      </c>
      <c r="CT31" s="46">
        <v>71</v>
      </c>
      <c r="CU31" s="46">
        <v>33</v>
      </c>
      <c r="CV31" s="46">
        <f t="shared" si="37"/>
        <v>104</v>
      </c>
      <c r="CW31" s="46">
        <f t="shared" si="68"/>
        <v>16575</v>
      </c>
      <c r="CX31" s="46">
        <f t="shared" si="69"/>
        <v>7850</v>
      </c>
      <c r="CY31" s="46">
        <f t="shared" si="39"/>
        <v>24425</v>
      </c>
      <c r="CZ31" s="28">
        <f t="shared" si="70"/>
        <v>1892</v>
      </c>
      <c r="DA31" s="28">
        <f t="shared" si="71"/>
        <v>1026</v>
      </c>
      <c r="DB31" s="2">
        <f t="shared" si="41"/>
        <v>2918</v>
      </c>
      <c r="DC31" s="28">
        <f t="shared" si="72"/>
        <v>755</v>
      </c>
      <c r="DD31" s="28">
        <f t="shared" si="73"/>
        <v>416</v>
      </c>
      <c r="DE31" s="2">
        <f t="shared" si="43"/>
        <v>1171</v>
      </c>
      <c r="DF31" s="57">
        <f t="shared" si="44"/>
        <v>49.3</v>
      </c>
      <c r="DG31" s="57">
        <f t="shared" si="45"/>
        <v>60.17</v>
      </c>
      <c r="DH31" s="57">
        <f t="shared" si="46"/>
        <v>52.34</v>
      </c>
      <c r="DI31" s="46">
        <f t="shared" si="47"/>
        <v>41.84</v>
      </c>
      <c r="DJ31" s="46">
        <f t="shared" si="48"/>
        <v>51.74</v>
      </c>
      <c r="DK31" s="46">
        <f t="shared" si="49"/>
        <v>44.86</v>
      </c>
      <c r="DL31" s="46">
        <f t="shared" si="50"/>
        <v>48.4</v>
      </c>
      <c r="DM31" s="46">
        <f t="shared" si="51"/>
        <v>59.86</v>
      </c>
      <c r="DN31" s="46">
        <f t="shared" si="52"/>
        <v>51.93</v>
      </c>
      <c r="DO31" s="46">
        <v>445593</v>
      </c>
      <c r="DP31" s="46">
        <v>452596</v>
      </c>
      <c r="DQ31" s="46">
        <f t="shared" si="78"/>
        <v>898189</v>
      </c>
      <c r="DR31" s="46">
        <v>50994</v>
      </c>
      <c r="DS31" s="46">
        <v>55163</v>
      </c>
      <c r="DT31" s="46">
        <f t="shared" si="79"/>
        <v>106157</v>
      </c>
      <c r="DU31" s="46">
        <v>27132</v>
      </c>
      <c r="DV31" s="46">
        <v>26310</v>
      </c>
      <c r="DW31" s="46">
        <f t="shared" si="80"/>
        <v>53442</v>
      </c>
      <c r="DX31" s="46">
        <v>388807</v>
      </c>
      <c r="DY31" s="46">
        <v>250038</v>
      </c>
      <c r="DZ31" s="46">
        <f t="shared" si="81"/>
        <v>638845</v>
      </c>
      <c r="EA31" s="46">
        <v>63447</v>
      </c>
      <c r="EB31" s="46">
        <v>43901</v>
      </c>
      <c r="EC31" s="46">
        <f t="shared" si="82"/>
        <v>107348</v>
      </c>
      <c r="ED31" s="46">
        <v>38706</v>
      </c>
      <c r="EE31" s="46">
        <v>29357</v>
      </c>
      <c r="EF31" s="46">
        <f t="shared" si="83"/>
        <v>68063</v>
      </c>
      <c r="EG31" s="46">
        <f t="shared" si="59"/>
        <v>0</v>
      </c>
      <c r="EH31" s="57">
        <f t="shared" si="60"/>
        <v>0</v>
      </c>
      <c r="EI31" s="46">
        <f t="shared" ref="EI31:EI50" si="84">DQ31+DZ31-CY31-BF31</f>
        <v>0</v>
      </c>
      <c r="EJ31" s="46">
        <f t="shared" si="62"/>
        <v>-288</v>
      </c>
      <c r="EK31" s="46">
        <f t="shared" si="63"/>
        <v>0</v>
      </c>
    </row>
    <row r="32" spans="1:142" ht="45" x14ac:dyDescent="0.25">
      <c r="A32" s="51">
        <v>42</v>
      </c>
      <c r="B32" s="48" t="s">
        <v>128</v>
      </c>
      <c r="C32" s="46" t="s">
        <v>68</v>
      </c>
      <c r="D32" s="70">
        <v>42837</v>
      </c>
      <c r="E32" s="70">
        <v>42845</v>
      </c>
      <c r="F32" s="70">
        <v>42930</v>
      </c>
      <c r="G32" s="70">
        <v>42936</v>
      </c>
      <c r="H32" s="46">
        <v>29</v>
      </c>
      <c r="I32" s="46">
        <v>0</v>
      </c>
      <c r="J32" s="46">
        <v>139</v>
      </c>
      <c r="K32" s="46">
        <f t="shared" si="0"/>
        <v>168</v>
      </c>
      <c r="L32" s="46">
        <v>316</v>
      </c>
      <c r="M32" s="46">
        <v>0</v>
      </c>
      <c r="N32" s="46">
        <v>1538</v>
      </c>
      <c r="O32" s="46">
        <f t="shared" si="1"/>
        <v>1854</v>
      </c>
      <c r="P32" s="46">
        <v>203</v>
      </c>
      <c r="Q32" s="46">
        <v>0</v>
      </c>
      <c r="R32" s="46">
        <v>649</v>
      </c>
      <c r="S32" s="46">
        <f t="shared" si="2"/>
        <v>852</v>
      </c>
      <c r="T32" s="46">
        <f t="shared" si="3"/>
        <v>45.95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60">
        <f t="shared" si="4"/>
        <v>168</v>
      </c>
      <c r="AC32" s="46">
        <v>1406</v>
      </c>
      <c r="AD32" s="46">
        <v>448</v>
      </c>
      <c r="AE32" s="46">
        <f t="shared" si="5"/>
        <v>1854</v>
      </c>
      <c r="AF32" s="46">
        <v>104</v>
      </c>
      <c r="AG32" s="46">
        <v>71</v>
      </c>
      <c r="AH32" s="46">
        <f t="shared" si="6"/>
        <v>175</v>
      </c>
      <c r="AI32" s="46">
        <v>52</v>
      </c>
      <c r="AJ32" s="46">
        <v>56</v>
      </c>
      <c r="AK32" s="46">
        <f t="shared" si="7"/>
        <v>108</v>
      </c>
      <c r="AL32" s="46">
        <v>519</v>
      </c>
      <c r="AM32" s="46">
        <v>32</v>
      </c>
      <c r="AN32" s="46">
        <f t="shared" si="8"/>
        <v>551</v>
      </c>
      <c r="AO32" s="46">
        <v>11</v>
      </c>
      <c r="AP32" s="46">
        <v>5</v>
      </c>
      <c r="AQ32" s="46">
        <f t="shared" si="9"/>
        <v>16</v>
      </c>
      <c r="AR32" s="46">
        <v>16</v>
      </c>
      <c r="AS32" s="46">
        <v>1</v>
      </c>
      <c r="AT32" s="46">
        <f t="shared" si="10"/>
        <v>17</v>
      </c>
      <c r="AU32" s="46">
        <v>560</v>
      </c>
      <c r="AV32" s="46">
        <v>303</v>
      </c>
      <c r="AW32" s="46">
        <f t="shared" si="11"/>
        <v>863</v>
      </c>
      <c r="AX32" s="46">
        <v>64</v>
      </c>
      <c r="AY32" s="46">
        <v>45</v>
      </c>
      <c r="AZ32" s="46">
        <f t="shared" si="12"/>
        <v>109</v>
      </c>
      <c r="BA32" s="46">
        <v>36</v>
      </c>
      <c r="BB32" s="46">
        <v>44</v>
      </c>
      <c r="BC32" s="46">
        <f t="shared" si="13"/>
        <v>80</v>
      </c>
      <c r="BD32" s="46">
        <v>837</v>
      </c>
      <c r="BE32" s="46">
        <v>115</v>
      </c>
      <c r="BF32" s="46">
        <f t="shared" si="15"/>
        <v>952</v>
      </c>
      <c r="BG32" s="46">
        <v>31</v>
      </c>
      <c r="BH32" s="46">
        <v>18</v>
      </c>
      <c r="BI32" s="46">
        <f t="shared" si="17"/>
        <v>49</v>
      </c>
      <c r="BJ32" s="46">
        <v>7</v>
      </c>
      <c r="BK32" s="46">
        <v>18</v>
      </c>
      <c r="BL32" s="46">
        <f t="shared" si="19"/>
        <v>25</v>
      </c>
      <c r="BM32" s="46">
        <f t="shared" si="20"/>
        <v>59.53</v>
      </c>
      <c r="BN32" s="46">
        <f t="shared" si="21"/>
        <v>25.67</v>
      </c>
      <c r="BO32" s="46">
        <f t="shared" si="22"/>
        <v>51.35</v>
      </c>
      <c r="BP32" s="46">
        <f t="shared" si="23"/>
        <v>29.81</v>
      </c>
      <c r="BQ32" s="46">
        <f t="shared" si="24"/>
        <v>25.35</v>
      </c>
      <c r="BR32" s="46">
        <f t="shared" si="25"/>
        <v>28</v>
      </c>
      <c r="BS32" s="46">
        <f t="shared" si="26"/>
        <v>13.46</v>
      </c>
      <c r="BT32" s="46">
        <f t="shared" si="27"/>
        <v>32.14</v>
      </c>
      <c r="BU32" s="46">
        <f t="shared" si="28"/>
        <v>23.15</v>
      </c>
      <c r="BV32" s="46">
        <v>0</v>
      </c>
      <c r="BW32" s="46">
        <v>0</v>
      </c>
      <c r="BX32" s="46">
        <f t="shared" si="29"/>
        <v>0</v>
      </c>
      <c r="BY32" s="46">
        <v>0</v>
      </c>
      <c r="BZ32" s="46">
        <v>0</v>
      </c>
      <c r="CA32" s="46">
        <f t="shared" si="76"/>
        <v>0</v>
      </c>
      <c r="CB32" s="46">
        <v>0</v>
      </c>
      <c r="CC32" s="46">
        <v>0</v>
      </c>
      <c r="CD32" s="46">
        <f t="shared" si="31"/>
        <v>0</v>
      </c>
      <c r="CE32" s="46">
        <v>0</v>
      </c>
      <c r="CF32" s="46">
        <v>0</v>
      </c>
      <c r="CG32" s="46">
        <f t="shared" si="77"/>
        <v>0</v>
      </c>
      <c r="CH32" s="46">
        <v>0</v>
      </c>
      <c r="CI32" s="46">
        <v>0</v>
      </c>
      <c r="CJ32" s="46">
        <f t="shared" si="33"/>
        <v>0</v>
      </c>
      <c r="CK32" s="46">
        <v>0</v>
      </c>
      <c r="CL32" s="46">
        <v>0</v>
      </c>
      <c r="CM32" s="46">
        <f t="shared" si="34"/>
        <v>0</v>
      </c>
      <c r="CN32" s="46">
        <v>0</v>
      </c>
      <c r="CO32" s="46">
        <v>0</v>
      </c>
      <c r="CP32" s="46">
        <f t="shared" si="35"/>
        <v>0</v>
      </c>
      <c r="CQ32" s="46">
        <v>0</v>
      </c>
      <c r="CR32" s="46">
        <v>0</v>
      </c>
      <c r="CS32" s="46">
        <f t="shared" si="36"/>
        <v>0</v>
      </c>
      <c r="CT32" s="46">
        <v>0</v>
      </c>
      <c r="CU32" s="46">
        <v>0</v>
      </c>
      <c r="CV32" s="46">
        <f t="shared" si="37"/>
        <v>0</v>
      </c>
      <c r="CW32" s="46">
        <v>0</v>
      </c>
      <c r="CX32" s="46">
        <v>0</v>
      </c>
      <c r="CY32" s="46">
        <f t="shared" si="39"/>
        <v>0</v>
      </c>
      <c r="CZ32" s="46">
        <v>0</v>
      </c>
      <c r="DA32" s="46">
        <v>0</v>
      </c>
      <c r="DB32" s="46">
        <f t="shared" si="41"/>
        <v>0</v>
      </c>
      <c r="DC32" s="46">
        <v>0</v>
      </c>
      <c r="DD32" s="46">
        <v>0</v>
      </c>
      <c r="DE32" s="46">
        <f t="shared" si="43"/>
        <v>0</v>
      </c>
      <c r="DF32" s="57" t="e">
        <f t="shared" si="44"/>
        <v>#DIV/0!</v>
      </c>
      <c r="DG32" s="57" t="e">
        <f t="shared" si="45"/>
        <v>#DIV/0!</v>
      </c>
      <c r="DH32" s="57" t="e">
        <f t="shared" si="46"/>
        <v>#DIV/0!</v>
      </c>
      <c r="DI32" s="46" t="e">
        <f t="shared" si="47"/>
        <v>#DIV/0!</v>
      </c>
      <c r="DJ32" s="46" t="e">
        <f t="shared" si="48"/>
        <v>#DIV/0!</v>
      </c>
      <c r="DK32" s="46" t="e">
        <f t="shared" si="49"/>
        <v>#DIV/0!</v>
      </c>
      <c r="DL32" s="46" t="e">
        <f t="shared" si="50"/>
        <v>#DIV/0!</v>
      </c>
      <c r="DM32" s="46" t="e">
        <f t="shared" si="51"/>
        <v>#DIV/0!</v>
      </c>
      <c r="DN32" s="46" t="e">
        <f t="shared" si="52"/>
        <v>#DIV/0!</v>
      </c>
      <c r="DO32" s="46">
        <v>0</v>
      </c>
      <c r="DP32" s="46">
        <v>0</v>
      </c>
      <c r="DQ32" s="46">
        <f t="shared" si="78"/>
        <v>0</v>
      </c>
      <c r="DR32" s="46">
        <v>0</v>
      </c>
      <c r="DS32" s="46">
        <v>0</v>
      </c>
      <c r="DT32" s="46">
        <f t="shared" si="79"/>
        <v>0</v>
      </c>
      <c r="DU32" s="46">
        <v>0</v>
      </c>
      <c r="DV32" s="46">
        <v>0</v>
      </c>
      <c r="DW32" s="46">
        <f t="shared" si="80"/>
        <v>0</v>
      </c>
      <c r="DX32" s="46">
        <v>0</v>
      </c>
      <c r="DY32" s="46">
        <v>0</v>
      </c>
      <c r="DZ32" s="46">
        <f t="shared" si="81"/>
        <v>0</v>
      </c>
      <c r="EA32" s="46">
        <v>0</v>
      </c>
      <c r="EB32" s="46">
        <v>0</v>
      </c>
      <c r="EC32" s="46">
        <f t="shared" si="82"/>
        <v>0</v>
      </c>
      <c r="ED32" s="46">
        <v>0</v>
      </c>
      <c r="EE32" s="46">
        <v>0</v>
      </c>
      <c r="EF32" s="46">
        <f t="shared" si="83"/>
        <v>0</v>
      </c>
      <c r="EG32" s="46">
        <f t="shared" si="59"/>
        <v>0</v>
      </c>
      <c r="EH32" s="57">
        <f t="shared" si="60"/>
        <v>-100</v>
      </c>
      <c r="EI32" s="46">
        <f t="shared" si="84"/>
        <v>-952</v>
      </c>
      <c r="EJ32" s="46">
        <f t="shared" si="62"/>
        <v>-49</v>
      </c>
      <c r="EK32" s="46">
        <f t="shared" si="63"/>
        <v>-25</v>
      </c>
    </row>
    <row r="33" spans="1:142" ht="28.5" x14ac:dyDescent="0.25">
      <c r="A33" s="51">
        <v>28</v>
      </c>
      <c r="B33" s="67" t="s">
        <v>106</v>
      </c>
      <c r="C33" s="48" t="s">
        <v>105</v>
      </c>
      <c r="D33" s="65" t="s">
        <v>75</v>
      </c>
      <c r="E33" s="65" t="s">
        <v>75</v>
      </c>
      <c r="F33" s="65" t="s">
        <v>75</v>
      </c>
      <c r="G33" s="65" t="s">
        <v>75</v>
      </c>
      <c r="H33" s="46">
        <v>0</v>
      </c>
      <c r="I33" s="46">
        <v>0</v>
      </c>
      <c r="J33" s="46">
        <v>0</v>
      </c>
      <c r="K33" s="46">
        <f t="shared" si="0"/>
        <v>0</v>
      </c>
      <c r="L33" s="46">
        <v>0</v>
      </c>
      <c r="M33" s="46">
        <v>0</v>
      </c>
      <c r="N33" s="46">
        <v>0</v>
      </c>
      <c r="O33" s="46">
        <f t="shared" si="1"/>
        <v>0</v>
      </c>
      <c r="P33" s="46">
        <v>0</v>
      </c>
      <c r="Q33" s="46">
        <v>0</v>
      </c>
      <c r="R33" s="46">
        <v>0</v>
      </c>
      <c r="S33" s="46">
        <f t="shared" si="2"/>
        <v>0</v>
      </c>
      <c r="T33" s="46" t="e">
        <f t="shared" si="3"/>
        <v>#DIV/0!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7">
        <f t="shared" si="4"/>
        <v>0</v>
      </c>
      <c r="AC33" s="46">
        <v>16119</v>
      </c>
      <c r="AD33" s="46">
        <v>19116</v>
      </c>
      <c r="AE33" s="46">
        <f t="shared" si="5"/>
        <v>35235</v>
      </c>
      <c r="AF33" s="46">
        <v>125</v>
      </c>
      <c r="AG33" s="46">
        <v>141</v>
      </c>
      <c r="AH33" s="46">
        <f t="shared" si="6"/>
        <v>266</v>
      </c>
      <c r="AI33" s="46">
        <v>14310</v>
      </c>
      <c r="AJ33" s="46">
        <v>17452</v>
      </c>
      <c r="AK33" s="46">
        <f t="shared" si="7"/>
        <v>31762</v>
      </c>
      <c r="AL33" s="46">
        <v>11240</v>
      </c>
      <c r="AM33" s="46">
        <v>13046</v>
      </c>
      <c r="AN33" s="46">
        <f t="shared" si="8"/>
        <v>24286</v>
      </c>
      <c r="AO33" s="46">
        <v>76</v>
      </c>
      <c r="AP33" s="46">
        <v>95</v>
      </c>
      <c r="AQ33" s="46">
        <f t="shared" si="9"/>
        <v>171</v>
      </c>
      <c r="AR33" s="46">
        <v>9925</v>
      </c>
      <c r="AS33" s="46">
        <v>11851</v>
      </c>
      <c r="AT33" s="46">
        <f t="shared" si="10"/>
        <v>21776</v>
      </c>
      <c r="AU33" s="46">
        <v>0</v>
      </c>
      <c r="AV33" s="46">
        <v>0</v>
      </c>
      <c r="AW33" s="46">
        <f t="shared" si="11"/>
        <v>0</v>
      </c>
      <c r="AX33" s="46">
        <v>0</v>
      </c>
      <c r="AY33" s="46">
        <v>0</v>
      </c>
      <c r="AZ33" s="46">
        <f t="shared" si="12"/>
        <v>0</v>
      </c>
      <c r="BA33" s="46">
        <v>0</v>
      </c>
      <c r="BB33" s="46">
        <v>0</v>
      </c>
      <c r="BC33" s="46">
        <f t="shared" si="13"/>
        <v>0</v>
      </c>
      <c r="BD33" s="46">
        <f t="shared" ref="BD33:BE38" si="85">AL33+AU33</f>
        <v>11240</v>
      </c>
      <c r="BE33" s="46">
        <f t="shared" si="85"/>
        <v>13046</v>
      </c>
      <c r="BF33" s="46">
        <f t="shared" si="15"/>
        <v>24286</v>
      </c>
      <c r="BG33" s="46">
        <f t="shared" ref="BG33:BH38" si="86">AO33+AX33</f>
        <v>76</v>
      </c>
      <c r="BH33" s="46">
        <f t="shared" si="86"/>
        <v>95</v>
      </c>
      <c r="BI33" s="46">
        <f t="shared" si="17"/>
        <v>171</v>
      </c>
      <c r="BJ33" s="46">
        <f t="shared" ref="BJ33:BK38" si="87">AR33+BA33</f>
        <v>9925</v>
      </c>
      <c r="BK33" s="46">
        <f t="shared" si="87"/>
        <v>11851</v>
      </c>
      <c r="BL33" s="46">
        <f t="shared" si="19"/>
        <v>21776</v>
      </c>
      <c r="BM33" s="46">
        <f t="shared" si="20"/>
        <v>69.73</v>
      </c>
      <c r="BN33" s="46">
        <f t="shared" si="21"/>
        <v>68.25</v>
      </c>
      <c r="BO33" s="46">
        <f t="shared" si="22"/>
        <v>68.930000000000007</v>
      </c>
      <c r="BP33" s="46">
        <f t="shared" si="23"/>
        <v>60.8</v>
      </c>
      <c r="BQ33" s="46">
        <f t="shared" si="24"/>
        <v>67.38</v>
      </c>
      <c r="BR33" s="46">
        <f t="shared" si="25"/>
        <v>64.290000000000006</v>
      </c>
      <c r="BS33" s="46">
        <f t="shared" si="26"/>
        <v>69.36</v>
      </c>
      <c r="BT33" s="46">
        <f t="shared" si="27"/>
        <v>67.91</v>
      </c>
      <c r="BU33" s="46">
        <f t="shared" si="28"/>
        <v>68.56</v>
      </c>
      <c r="BV33" s="46">
        <v>7536</v>
      </c>
      <c r="BW33" s="46">
        <v>8202</v>
      </c>
      <c r="BX33" s="46">
        <f t="shared" si="29"/>
        <v>15738</v>
      </c>
      <c r="BY33" s="46">
        <v>15</v>
      </c>
      <c r="BZ33" s="46">
        <v>16</v>
      </c>
      <c r="CA33" s="46">
        <f t="shared" si="76"/>
        <v>31</v>
      </c>
      <c r="CB33" s="46">
        <v>7379</v>
      </c>
      <c r="CC33" s="46">
        <v>8020</v>
      </c>
      <c r="CD33" s="46">
        <f t="shared" si="31"/>
        <v>15399</v>
      </c>
      <c r="CE33" s="46">
        <v>1449</v>
      </c>
      <c r="CF33" s="46">
        <v>1823</v>
      </c>
      <c r="CG33" s="46">
        <f t="shared" si="77"/>
        <v>3272</v>
      </c>
      <c r="CH33" s="46">
        <v>4</v>
      </c>
      <c r="CI33" s="46">
        <v>12</v>
      </c>
      <c r="CJ33" s="46">
        <f t="shared" si="33"/>
        <v>16</v>
      </c>
      <c r="CK33" s="46">
        <v>1385</v>
      </c>
      <c r="CL33" s="46">
        <v>1739</v>
      </c>
      <c r="CM33" s="46">
        <f t="shared" si="34"/>
        <v>3124</v>
      </c>
      <c r="CN33" s="46">
        <v>0</v>
      </c>
      <c r="CO33" s="46">
        <v>0</v>
      </c>
      <c r="CP33" s="46">
        <f t="shared" si="35"/>
        <v>0</v>
      </c>
      <c r="CQ33" s="46">
        <v>0</v>
      </c>
      <c r="CR33" s="46">
        <v>0</v>
      </c>
      <c r="CS33" s="46">
        <f t="shared" si="36"/>
        <v>0</v>
      </c>
      <c r="CT33" s="46">
        <v>0</v>
      </c>
      <c r="CU33" s="46">
        <v>0</v>
      </c>
      <c r="CV33" s="46">
        <f t="shared" si="37"/>
        <v>0</v>
      </c>
      <c r="CW33" s="46">
        <f>CE33+CN33</f>
        <v>1449</v>
      </c>
      <c r="CX33" s="46">
        <f>CF33+CO33</f>
        <v>1823</v>
      </c>
      <c r="CY33" s="46">
        <f t="shared" si="39"/>
        <v>3272</v>
      </c>
      <c r="CZ33" s="28">
        <f>CH33+CQ33</f>
        <v>4</v>
      </c>
      <c r="DA33" s="28">
        <f>CI33+CR33</f>
        <v>12</v>
      </c>
      <c r="DB33" s="2">
        <f t="shared" si="41"/>
        <v>16</v>
      </c>
      <c r="DC33" s="28">
        <f>CK33+CT33</f>
        <v>1385</v>
      </c>
      <c r="DD33" s="28">
        <f>CL33+CU33</f>
        <v>1739</v>
      </c>
      <c r="DE33" s="2">
        <f t="shared" si="43"/>
        <v>3124</v>
      </c>
      <c r="DF33" s="57">
        <f t="shared" si="44"/>
        <v>19.23</v>
      </c>
      <c r="DG33" s="57">
        <f t="shared" si="45"/>
        <v>22.23</v>
      </c>
      <c r="DH33" s="57">
        <f t="shared" si="46"/>
        <v>20.79</v>
      </c>
      <c r="DI33" s="46">
        <f t="shared" si="47"/>
        <v>26.67</v>
      </c>
      <c r="DJ33" s="46">
        <f t="shared" si="48"/>
        <v>75</v>
      </c>
      <c r="DK33" s="46">
        <f t="shared" si="49"/>
        <v>51.61</v>
      </c>
      <c r="DL33" s="46">
        <f t="shared" si="50"/>
        <v>18.77</v>
      </c>
      <c r="DM33" s="46">
        <f t="shared" si="51"/>
        <v>21.68</v>
      </c>
      <c r="DN33" s="46">
        <f t="shared" si="52"/>
        <v>20.29</v>
      </c>
      <c r="DO33" s="46">
        <v>677</v>
      </c>
      <c r="DP33" s="46">
        <v>828</v>
      </c>
      <c r="DQ33" s="46">
        <f t="shared" si="78"/>
        <v>1505</v>
      </c>
      <c r="DR33" s="46">
        <v>7</v>
      </c>
      <c r="DS33" s="46">
        <v>6</v>
      </c>
      <c r="DT33" s="46">
        <f t="shared" si="79"/>
        <v>13</v>
      </c>
      <c r="DU33" s="46">
        <v>528</v>
      </c>
      <c r="DV33" s="46">
        <v>683</v>
      </c>
      <c r="DW33" s="46">
        <f t="shared" si="80"/>
        <v>1211</v>
      </c>
      <c r="DX33" s="46">
        <v>2177</v>
      </c>
      <c r="DY33" s="46">
        <v>2482</v>
      </c>
      <c r="DZ33" s="46">
        <f t="shared" si="81"/>
        <v>4659</v>
      </c>
      <c r="EA33" s="46">
        <v>15</v>
      </c>
      <c r="EB33" s="46">
        <v>18</v>
      </c>
      <c r="EC33" s="46">
        <f t="shared" si="82"/>
        <v>33</v>
      </c>
      <c r="ED33" s="46">
        <v>1889</v>
      </c>
      <c r="EE33" s="46">
        <v>2232</v>
      </c>
      <c r="EF33" s="46">
        <f t="shared" si="83"/>
        <v>4121</v>
      </c>
      <c r="EG33" s="46">
        <f t="shared" si="59"/>
        <v>-50973</v>
      </c>
      <c r="EH33" s="57">
        <f t="shared" si="60"/>
        <v>-27558</v>
      </c>
      <c r="EI33" s="46">
        <f t="shared" si="84"/>
        <v>-21394</v>
      </c>
      <c r="EJ33" s="46">
        <f t="shared" si="62"/>
        <v>-141</v>
      </c>
      <c r="EK33" s="46">
        <f t="shared" si="63"/>
        <v>-19568</v>
      </c>
    </row>
    <row r="34" spans="1:142" ht="30" x14ac:dyDescent="0.25">
      <c r="A34" s="51">
        <v>39</v>
      </c>
      <c r="B34" s="48" t="s">
        <v>124</v>
      </c>
      <c r="C34" s="48" t="s">
        <v>119</v>
      </c>
      <c r="D34" s="64">
        <v>42769</v>
      </c>
      <c r="E34" s="64">
        <v>42818</v>
      </c>
      <c r="F34" s="64">
        <v>42907</v>
      </c>
      <c r="G34" s="64">
        <v>42908</v>
      </c>
      <c r="H34" s="46">
        <v>182</v>
      </c>
      <c r="I34" s="46">
        <v>84</v>
      </c>
      <c r="J34" s="46">
        <v>63</v>
      </c>
      <c r="K34" s="46">
        <f t="shared" si="0"/>
        <v>329</v>
      </c>
      <c r="L34" s="46">
        <v>4880</v>
      </c>
      <c r="M34" s="46">
        <v>3789</v>
      </c>
      <c r="N34" s="46">
        <v>5959</v>
      </c>
      <c r="O34" s="46">
        <f t="shared" si="1"/>
        <v>14628</v>
      </c>
      <c r="P34" s="46">
        <v>3153</v>
      </c>
      <c r="Q34" s="46">
        <v>2891</v>
      </c>
      <c r="R34" s="46">
        <v>4596</v>
      </c>
      <c r="S34" s="46">
        <f t="shared" si="2"/>
        <v>10640</v>
      </c>
      <c r="T34" s="46">
        <f t="shared" si="3"/>
        <v>72.739999999999995</v>
      </c>
      <c r="U34" s="46">
        <v>74</v>
      </c>
      <c r="V34" s="46">
        <v>78</v>
      </c>
      <c r="W34" s="46">
        <v>99</v>
      </c>
      <c r="X34" s="46">
        <v>74</v>
      </c>
      <c r="Y34" s="46">
        <v>49</v>
      </c>
      <c r="Z34" s="46">
        <v>62</v>
      </c>
      <c r="AA34" s="46">
        <v>194</v>
      </c>
      <c r="AB34" s="47">
        <f t="shared" si="4"/>
        <v>-301</v>
      </c>
      <c r="AC34" s="46">
        <v>6892</v>
      </c>
      <c r="AD34" s="46">
        <v>7636</v>
      </c>
      <c r="AE34" s="46">
        <f t="shared" si="5"/>
        <v>14528</v>
      </c>
      <c r="AF34" s="46">
        <v>12</v>
      </c>
      <c r="AG34" s="46">
        <v>19</v>
      </c>
      <c r="AH34" s="46">
        <f t="shared" si="6"/>
        <v>31</v>
      </c>
      <c r="AI34" s="46">
        <v>6791</v>
      </c>
      <c r="AJ34" s="46">
        <v>7517</v>
      </c>
      <c r="AK34" s="46">
        <f t="shared" si="7"/>
        <v>14308</v>
      </c>
      <c r="AL34" s="46">
        <v>5099</v>
      </c>
      <c r="AM34" s="46">
        <v>5438</v>
      </c>
      <c r="AN34" s="46">
        <f t="shared" si="8"/>
        <v>10537</v>
      </c>
      <c r="AO34" s="46">
        <v>10</v>
      </c>
      <c r="AP34" s="46">
        <v>13</v>
      </c>
      <c r="AQ34" s="46">
        <f t="shared" si="9"/>
        <v>23</v>
      </c>
      <c r="AR34" s="46">
        <v>5012</v>
      </c>
      <c r="AS34" s="46">
        <v>5351</v>
      </c>
      <c r="AT34" s="46">
        <f t="shared" si="10"/>
        <v>10363</v>
      </c>
      <c r="AU34" s="46">
        <v>45</v>
      </c>
      <c r="AV34" s="46">
        <v>38</v>
      </c>
      <c r="AW34" s="46">
        <f t="shared" si="11"/>
        <v>83</v>
      </c>
      <c r="AX34" s="46">
        <v>0</v>
      </c>
      <c r="AY34" s="46">
        <v>0</v>
      </c>
      <c r="AZ34" s="46">
        <f t="shared" si="12"/>
        <v>0</v>
      </c>
      <c r="BA34" s="46">
        <v>45</v>
      </c>
      <c r="BB34" s="46">
        <v>38</v>
      </c>
      <c r="BC34" s="46">
        <f t="shared" si="13"/>
        <v>83</v>
      </c>
      <c r="BD34" s="46">
        <f t="shared" si="85"/>
        <v>5144</v>
      </c>
      <c r="BE34" s="46">
        <f t="shared" si="85"/>
        <v>5476</v>
      </c>
      <c r="BF34" s="46">
        <f t="shared" si="15"/>
        <v>10620</v>
      </c>
      <c r="BG34" s="46">
        <f t="shared" si="86"/>
        <v>10</v>
      </c>
      <c r="BH34" s="46">
        <f t="shared" si="86"/>
        <v>13</v>
      </c>
      <c r="BI34" s="46">
        <f t="shared" si="17"/>
        <v>23</v>
      </c>
      <c r="BJ34" s="46">
        <f t="shared" si="87"/>
        <v>5057</v>
      </c>
      <c r="BK34" s="46">
        <f t="shared" si="87"/>
        <v>5389</v>
      </c>
      <c r="BL34" s="46">
        <f t="shared" si="19"/>
        <v>10446</v>
      </c>
      <c r="BM34" s="46">
        <f t="shared" si="20"/>
        <v>74.64</v>
      </c>
      <c r="BN34" s="46">
        <f t="shared" si="21"/>
        <v>71.709999999999994</v>
      </c>
      <c r="BO34" s="46">
        <f t="shared" si="22"/>
        <v>73.099999999999994</v>
      </c>
      <c r="BP34" s="46">
        <f t="shared" si="23"/>
        <v>83.33</v>
      </c>
      <c r="BQ34" s="46">
        <f t="shared" si="24"/>
        <v>68.42</v>
      </c>
      <c r="BR34" s="46">
        <f t="shared" si="25"/>
        <v>74.19</v>
      </c>
      <c r="BS34" s="46">
        <f t="shared" si="26"/>
        <v>74.47</v>
      </c>
      <c r="BT34" s="46">
        <f t="shared" si="27"/>
        <v>71.69</v>
      </c>
      <c r="BU34" s="46">
        <f t="shared" si="28"/>
        <v>73.010000000000005</v>
      </c>
      <c r="BV34" s="46">
        <v>53</v>
      </c>
      <c r="BW34" s="46">
        <v>47</v>
      </c>
      <c r="BX34" s="46">
        <f t="shared" si="29"/>
        <v>100</v>
      </c>
      <c r="BY34" s="46">
        <v>0</v>
      </c>
      <c r="BZ34" s="46">
        <v>0</v>
      </c>
      <c r="CA34" s="46">
        <f t="shared" si="76"/>
        <v>0</v>
      </c>
      <c r="CB34" s="46">
        <v>53</v>
      </c>
      <c r="CC34" s="46">
        <v>47</v>
      </c>
      <c r="CD34" s="46">
        <f t="shared" si="31"/>
        <v>100</v>
      </c>
      <c r="CE34" s="46">
        <v>14</v>
      </c>
      <c r="CF34" s="46">
        <v>6</v>
      </c>
      <c r="CG34" s="46">
        <f t="shared" si="77"/>
        <v>20</v>
      </c>
      <c r="CH34" s="46">
        <v>0</v>
      </c>
      <c r="CI34" s="46">
        <v>0</v>
      </c>
      <c r="CJ34" s="46">
        <f t="shared" si="33"/>
        <v>0</v>
      </c>
      <c r="CK34" s="46">
        <v>14</v>
      </c>
      <c r="CL34" s="46">
        <v>6</v>
      </c>
      <c r="CM34" s="46">
        <f t="shared" si="34"/>
        <v>20</v>
      </c>
      <c r="CN34" s="46">
        <v>0</v>
      </c>
      <c r="CO34" s="46">
        <v>0</v>
      </c>
      <c r="CP34" s="46">
        <f t="shared" si="35"/>
        <v>0</v>
      </c>
      <c r="CQ34" s="46">
        <v>0</v>
      </c>
      <c r="CR34" s="46">
        <v>0</v>
      </c>
      <c r="CS34" s="46">
        <f t="shared" si="36"/>
        <v>0</v>
      </c>
      <c r="CT34" s="46">
        <v>0</v>
      </c>
      <c r="CU34" s="46">
        <v>0</v>
      </c>
      <c r="CV34" s="46">
        <f t="shared" si="37"/>
        <v>0</v>
      </c>
      <c r="CW34" s="46">
        <v>14</v>
      </c>
      <c r="CX34" s="46">
        <v>6</v>
      </c>
      <c r="CY34" s="46">
        <f t="shared" si="39"/>
        <v>20</v>
      </c>
      <c r="CZ34" s="46">
        <v>0</v>
      </c>
      <c r="DA34" s="46">
        <v>0</v>
      </c>
      <c r="DB34" s="46">
        <f t="shared" si="41"/>
        <v>0</v>
      </c>
      <c r="DC34" s="46">
        <v>14</v>
      </c>
      <c r="DD34" s="46">
        <v>6</v>
      </c>
      <c r="DE34" s="46">
        <f t="shared" si="43"/>
        <v>20</v>
      </c>
      <c r="DF34" s="46">
        <f t="shared" si="44"/>
        <v>26.42</v>
      </c>
      <c r="DG34" s="46">
        <f t="shared" si="45"/>
        <v>12.77</v>
      </c>
      <c r="DH34" s="46">
        <f t="shared" si="46"/>
        <v>20</v>
      </c>
      <c r="DI34" s="46" t="e">
        <f t="shared" si="47"/>
        <v>#DIV/0!</v>
      </c>
      <c r="DJ34" s="46" t="e">
        <f t="shared" si="48"/>
        <v>#DIV/0!</v>
      </c>
      <c r="DK34" s="46" t="e">
        <f t="shared" si="49"/>
        <v>#DIV/0!</v>
      </c>
      <c r="DL34" s="46">
        <f t="shared" si="50"/>
        <v>26.42</v>
      </c>
      <c r="DM34" s="46">
        <f t="shared" si="51"/>
        <v>12.77</v>
      </c>
      <c r="DN34" s="46">
        <f t="shared" si="52"/>
        <v>20</v>
      </c>
      <c r="DO34" s="46">
        <v>1885</v>
      </c>
      <c r="DP34" s="46">
        <v>2233</v>
      </c>
      <c r="DQ34" s="46">
        <f t="shared" si="78"/>
        <v>4118</v>
      </c>
      <c r="DR34" s="46">
        <v>5</v>
      </c>
      <c r="DS34" s="46">
        <v>8</v>
      </c>
      <c r="DT34" s="46">
        <f t="shared" si="79"/>
        <v>13</v>
      </c>
      <c r="DU34" s="46">
        <v>1850</v>
      </c>
      <c r="DV34" s="46">
        <v>2209</v>
      </c>
      <c r="DW34" s="46">
        <f t="shared" si="80"/>
        <v>4059</v>
      </c>
      <c r="DX34" s="46">
        <v>3273</v>
      </c>
      <c r="DY34" s="46">
        <v>3249</v>
      </c>
      <c r="DZ34" s="46">
        <f t="shared" si="81"/>
        <v>6522</v>
      </c>
      <c r="EA34" s="46">
        <v>5</v>
      </c>
      <c r="EB34" s="46">
        <v>5</v>
      </c>
      <c r="EC34" s="46">
        <f t="shared" si="82"/>
        <v>10</v>
      </c>
      <c r="ED34" s="46">
        <v>3208</v>
      </c>
      <c r="EE34" s="46">
        <v>3199</v>
      </c>
      <c r="EF34" s="46">
        <f t="shared" si="83"/>
        <v>6407</v>
      </c>
      <c r="EG34" s="46">
        <f t="shared" si="59"/>
        <v>0</v>
      </c>
      <c r="EH34" s="57">
        <f t="shared" si="60"/>
        <v>0</v>
      </c>
      <c r="EI34" s="46">
        <f t="shared" si="84"/>
        <v>0</v>
      </c>
      <c r="EJ34" s="46">
        <f t="shared" si="62"/>
        <v>0</v>
      </c>
      <c r="EK34" s="46">
        <f t="shared" si="63"/>
        <v>0</v>
      </c>
    </row>
    <row r="35" spans="1:142" ht="30" x14ac:dyDescent="0.25">
      <c r="A35" s="51">
        <v>19</v>
      </c>
      <c r="B35" s="43" t="s">
        <v>81</v>
      </c>
      <c r="C35" s="54" t="s">
        <v>83</v>
      </c>
      <c r="D35" s="64">
        <v>42781</v>
      </c>
      <c r="E35" s="64">
        <v>42793</v>
      </c>
      <c r="F35" s="64">
        <v>42861</v>
      </c>
      <c r="G35" s="64">
        <v>43014</v>
      </c>
      <c r="H35" s="6">
        <v>294</v>
      </c>
      <c r="I35" s="6">
        <v>0</v>
      </c>
      <c r="J35" s="6">
        <v>422</v>
      </c>
      <c r="K35" s="2">
        <f t="shared" si="0"/>
        <v>716</v>
      </c>
      <c r="L35" s="6">
        <v>4296</v>
      </c>
      <c r="M35" s="6">
        <v>0</v>
      </c>
      <c r="N35" s="6">
        <v>14673</v>
      </c>
      <c r="O35" s="2">
        <f t="shared" si="1"/>
        <v>18969</v>
      </c>
      <c r="P35" s="6">
        <v>1830</v>
      </c>
      <c r="Q35" s="6">
        <v>0</v>
      </c>
      <c r="R35" s="6">
        <v>13085</v>
      </c>
      <c r="S35" s="2">
        <f t="shared" si="2"/>
        <v>14915</v>
      </c>
      <c r="T35" s="15">
        <f t="shared" si="3"/>
        <v>78.63</v>
      </c>
      <c r="U35" s="6">
        <v>72</v>
      </c>
      <c r="V35" s="6">
        <v>154</v>
      </c>
      <c r="W35" s="6">
        <v>60</v>
      </c>
      <c r="X35" s="6">
        <v>68</v>
      </c>
      <c r="Y35" s="6">
        <v>48</v>
      </c>
      <c r="Z35" s="6">
        <v>49</v>
      </c>
      <c r="AA35" s="6">
        <v>223</v>
      </c>
      <c r="AB35" s="47">
        <f t="shared" si="4"/>
        <v>42</v>
      </c>
      <c r="AC35" s="30">
        <v>10699</v>
      </c>
      <c r="AD35" s="30">
        <v>11747</v>
      </c>
      <c r="AE35" s="46">
        <f t="shared" si="5"/>
        <v>22446</v>
      </c>
      <c r="AF35" s="31">
        <v>106</v>
      </c>
      <c r="AG35" s="31">
        <v>92</v>
      </c>
      <c r="AH35" s="2">
        <f t="shared" si="6"/>
        <v>198</v>
      </c>
      <c r="AI35" s="31">
        <v>9677</v>
      </c>
      <c r="AJ35" s="31">
        <v>10721</v>
      </c>
      <c r="AK35" s="2">
        <f t="shared" si="7"/>
        <v>20398</v>
      </c>
      <c r="AL35" s="30">
        <v>7577</v>
      </c>
      <c r="AM35" s="30">
        <v>8178</v>
      </c>
      <c r="AN35" s="2">
        <f t="shared" si="8"/>
        <v>15755</v>
      </c>
      <c r="AO35" s="31">
        <v>85</v>
      </c>
      <c r="AP35" s="31">
        <v>70</v>
      </c>
      <c r="AQ35" s="2">
        <f t="shared" si="9"/>
        <v>155</v>
      </c>
      <c r="AR35" s="31">
        <v>6767</v>
      </c>
      <c r="AS35" s="31">
        <v>7377</v>
      </c>
      <c r="AT35" s="2">
        <f t="shared" si="10"/>
        <v>14144</v>
      </c>
      <c r="AU35" s="31">
        <v>0</v>
      </c>
      <c r="AV35" s="31">
        <v>0</v>
      </c>
      <c r="AW35" s="2">
        <f t="shared" si="11"/>
        <v>0</v>
      </c>
      <c r="AX35" s="31">
        <v>0</v>
      </c>
      <c r="AY35" s="31">
        <v>0</v>
      </c>
      <c r="AZ35" s="2">
        <f t="shared" si="12"/>
        <v>0</v>
      </c>
      <c r="BA35" s="31">
        <v>0</v>
      </c>
      <c r="BB35" s="31">
        <v>0</v>
      </c>
      <c r="BC35" s="2">
        <f t="shared" si="13"/>
        <v>0</v>
      </c>
      <c r="BD35" s="28">
        <f t="shared" si="85"/>
        <v>7577</v>
      </c>
      <c r="BE35" s="28">
        <f t="shared" si="85"/>
        <v>8178</v>
      </c>
      <c r="BF35" s="2">
        <f t="shared" si="15"/>
        <v>15755</v>
      </c>
      <c r="BG35" s="46">
        <f t="shared" si="86"/>
        <v>85</v>
      </c>
      <c r="BH35" s="46">
        <f t="shared" si="86"/>
        <v>70</v>
      </c>
      <c r="BI35" s="46">
        <f t="shared" si="17"/>
        <v>155</v>
      </c>
      <c r="BJ35" s="28">
        <f t="shared" si="87"/>
        <v>6767</v>
      </c>
      <c r="BK35" s="28">
        <f t="shared" si="87"/>
        <v>7377</v>
      </c>
      <c r="BL35" s="2">
        <f t="shared" si="19"/>
        <v>14144</v>
      </c>
      <c r="BM35" s="28">
        <f t="shared" si="20"/>
        <v>70.819999999999993</v>
      </c>
      <c r="BN35" s="28">
        <f t="shared" si="21"/>
        <v>69.62</v>
      </c>
      <c r="BO35" s="28">
        <f t="shared" si="22"/>
        <v>70.19</v>
      </c>
      <c r="BP35" s="46">
        <f t="shared" si="23"/>
        <v>80.19</v>
      </c>
      <c r="BQ35" s="46">
        <f t="shared" si="24"/>
        <v>76.09</v>
      </c>
      <c r="BR35" s="46">
        <f t="shared" si="25"/>
        <v>78.28</v>
      </c>
      <c r="BS35" s="28">
        <f t="shared" si="26"/>
        <v>69.930000000000007</v>
      </c>
      <c r="BT35" s="28">
        <f t="shared" si="27"/>
        <v>68.81</v>
      </c>
      <c r="BU35" s="28">
        <f t="shared" si="28"/>
        <v>69.34</v>
      </c>
      <c r="BV35" s="30">
        <v>452</v>
      </c>
      <c r="BW35" s="30">
        <v>467</v>
      </c>
      <c r="BX35" s="2">
        <f t="shared" si="29"/>
        <v>919</v>
      </c>
      <c r="BY35" s="31">
        <v>0</v>
      </c>
      <c r="BZ35" s="31">
        <v>0</v>
      </c>
      <c r="CA35" s="2">
        <f t="shared" si="76"/>
        <v>0</v>
      </c>
      <c r="CB35" s="31">
        <v>0</v>
      </c>
      <c r="CC35" s="31">
        <v>0</v>
      </c>
      <c r="CD35" s="2">
        <f t="shared" si="31"/>
        <v>0</v>
      </c>
      <c r="CE35" s="30">
        <v>172</v>
      </c>
      <c r="CF35" s="30">
        <v>186</v>
      </c>
      <c r="CG35" s="2">
        <f t="shared" si="77"/>
        <v>358</v>
      </c>
      <c r="CH35" s="31">
        <v>0</v>
      </c>
      <c r="CI35" s="31">
        <v>0</v>
      </c>
      <c r="CJ35" s="2">
        <f t="shared" si="33"/>
        <v>0</v>
      </c>
      <c r="CK35" s="31">
        <v>0</v>
      </c>
      <c r="CL35" s="31">
        <v>0</v>
      </c>
      <c r="CM35" s="2">
        <f t="shared" si="34"/>
        <v>0</v>
      </c>
      <c r="CN35" s="31">
        <v>0</v>
      </c>
      <c r="CO35" s="31">
        <v>0</v>
      </c>
      <c r="CP35" s="2">
        <f t="shared" si="35"/>
        <v>0</v>
      </c>
      <c r="CQ35" s="31">
        <v>0</v>
      </c>
      <c r="CR35" s="31">
        <v>0</v>
      </c>
      <c r="CS35" s="2">
        <f t="shared" si="36"/>
        <v>0</v>
      </c>
      <c r="CT35" s="31">
        <v>0</v>
      </c>
      <c r="CU35" s="31">
        <v>0</v>
      </c>
      <c r="CV35" s="2">
        <f t="shared" si="37"/>
        <v>0</v>
      </c>
      <c r="CW35" s="46">
        <f t="shared" ref="CW35:CX38" si="88">CE35+CN35</f>
        <v>172</v>
      </c>
      <c r="CX35" s="46">
        <f t="shared" si="88"/>
        <v>186</v>
      </c>
      <c r="CY35" s="46">
        <f t="shared" si="39"/>
        <v>358</v>
      </c>
      <c r="CZ35" s="28">
        <f t="shared" ref="CZ35:DA38" si="89">CH35+CQ35</f>
        <v>0</v>
      </c>
      <c r="DA35" s="28">
        <f t="shared" si="89"/>
        <v>0</v>
      </c>
      <c r="DB35" s="2">
        <f t="shared" si="41"/>
        <v>0</v>
      </c>
      <c r="DC35" s="28">
        <f t="shared" ref="DC35:DD38" si="90">CK35+CT35</f>
        <v>0</v>
      </c>
      <c r="DD35" s="28">
        <f t="shared" si="90"/>
        <v>0</v>
      </c>
      <c r="DE35" s="2">
        <f t="shared" si="43"/>
        <v>0</v>
      </c>
      <c r="DF35" s="46">
        <f t="shared" si="44"/>
        <v>38.049999999999997</v>
      </c>
      <c r="DG35" s="46">
        <f t="shared" si="45"/>
        <v>39.83</v>
      </c>
      <c r="DH35" s="46">
        <f t="shared" si="46"/>
        <v>38.96</v>
      </c>
      <c r="DI35" s="28" t="e">
        <f t="shared" si="47"/>
        <v>#DIV/0!</v>
      </c>
      <c r="DJ35" s="28" t="e">
        <f t="shared" si="48"/>
        <v>#DIV/0!</v>
      </c>
      <c r="DK35" s="28" t="e">
        <f t="shared" si="49"/>
        <v>#DIV/0!</v>
      </c>
      <c r="DL35" s="28" t="e">
        <f t="shared" si="50"/>
        <v>#DIV/0!</v>
      </c>
      <c r="DM35" s="28" t="e">
        <f t="shared" si="51"/>
        <v>#DIV/0!</v>
      </c>
      <c r="DN35" s="28" t="e">
        <f t="shared" si="52"/>
        <v>#DIV/0!</v>
      </c>
      <c r="DO35" s="32">
        <v>2770</v>
      </c>
      <c r="DP35" s="32">
        <v>3525</v>
      </c>
      <c r="DQ35" s="2">
        <f t="shared" si="78"/>
        <v>6295</v>
      </c>
      <c r="DR35" s="32">
        <v>43</v>
      </c>
      <c r="DS35" s="32">
        <v>27</v>
      </c>
      <c r="DT35" s="2">
        <f t="shared" si="79"/>
        <v>70</v>
      </c>
      <c r="DU35" s="32">
        <v>2357</v>
      </c>
      <c r="DV35" s="32">
        <v>3127</v>
      </c>
      <c r="DW35" s="2">
        <f t="shared" si="80"/>
        <v>5484</v>
      </c>
      <c r="DX35" s="32">
        <v>4807</v>
      </c>
      <c r="DY35" s="32">
        <v>4653</v>
      </c>
      <c r="DZ35" s="2">
        <f t="shared" si="81"/>
        <v>9460</v>
      </c>
      <c r="EA35" s="32">
        <v>42</v>
      </c>
      <c r="EB35" s="32">
        <v>43</v>
      </c>
      <c r="EC35" s="2">
        <f t="shared" si="82"/>
        <v>85</v>
      </c>
      <c r="ED35" s="32">
        <v>4410</v>
      </c>
      <c r="EE35" s="32">
        <v>4250</v>
      </c>
      <c r="EF35" s="2">
        <f t="shared" si="83"/>
        <v>8660</v>
      </c>
      <c r="EG35" s="4">
        <f t="shared" si="59"/>
        <v>-4396</v>
      </c>
      <c r="EH35" s="57">
        <f t="shared" si="60"/>
        <v>-1198</v>
      </c>
      <c r="EI35" s="4">
        <f t="shared" si="84"/>
        <v>-358</v>
      </c>
      <c r="EJ35" s="46">
        <f t="shared" si="62"/>
        <v>0</v>
      </c>
      <c r="EK35" s="46">
        <f t="shared" si="63"/>
        <v>0</v>
      </c>
    </row>
    <row r="36" spans="1:142" ht="28.5" x14ac:dyDescent="0.25">
      <c r="A36" s="50">
        <v>2</v>
      </c>
      <c r="B36" s="27" t="s">
        <v>50</v>
      </c>
      <c r="C36" s="27" t="s">
        <v>51</v>
      </c>
      <c r="D36" s="63">
        <v>42818</v>
      </c>
      <c r="E36" s="63">
        <v>42825</v>
      </c>
      <c r="F36" s="62" t="s">
        <v>101</v>
      </c>
      <c r="G36" s="62" t="s">
        <v>101</v>
      </c>
      <c r="H36" s="6">
        <v>0</v>
      </c>
      <c r="I36" s="6">
        <v>0</v>
      </c>
      <c r="J36" s="6">
        <v>36</v>
      </c>
      <c r="K36" s="2">
        <f t="shared" si="0"/>
        <v>36</v>
      </c>
      <c r="L36" s="6">
        <v>0</v>
      </c>
      <c r="M36" s="6">
        <v>0</v>
      </c>
      <c r="N36" s="6">
        <v>830</v>
      </c>
      <c r="O36" s="2">
        <f t="shared" si="1"/>
        <v>830</v>
      </c>
      <c r="P36" s="6">
        <v>0</v>
      </c>
      <c r="Q36" s="6">
        <v>0</v>
      </c>
      <c r="R36" s="6">
        <v>782</v>
      </c>
      <c r="S36" s="2">
        <f t="shared" si="2"/>
        <v>782</v>
      </c>
      <c r="T36" s="15">
        <f t="shared" si="3"/>
        <v>94.22</v>
      </c>
      <c r="U36" s="6">
        <v>24</v>
      </c>
      <c r="V36" s="6">
        <v>6</v>
      </c>
      <c r="W36" s="6">
        <v>5</v>
      </c>
      <c r="X36" s="6">
        <v>0</v>
      </c>
      <c r="Y36" s="6">
        <v>1</v>
      </c>
      <c r="Z36" s="6">
        <v>0</v>
      </c>
      <c r="AA36" s="6">
        <v>0</v>
      </c>
      <c r="AB36" s="29">
        <f t="shared" si="4"/>
        <v>0</v>
      </c>
      <c r="AC36" s="30">
        <v>546</v>
      </c>
      <c r="AD36" s="30">
        <v>284</v>
      </c>
      <c r="AE36" s="2">
        <f t="shared" si="5"/>
        <v>830</v>
      </c>
      <c r="AF36" s="31">
        <v>69</v>
      </c>
      <c r="AG36" s="31">
        <v>83</v>
      </c>
      <c r="AH36" s="2">
        <f t="shared" si="6"/>
        <v>152</v>
      </c>
      <c r="AI36" s="31">
        <v>7</v>
      </c>
      <c r="AJ36" s="31">
        <v>10</v>
      </c>
      <c r="AK36" s="2">
        <f t="shared" si="7"/>
        <v>17</v>
      </c>
      <c r="AL36" s="30">
        <v>518</v>
      </c>
      <c r="AM36" s="30">
        <v>264</v>
      </c>
      <c r="AN36" s="2">
        <f t="shared" si="8"/>
        <v>782</v>
      </c>
      <c r="AO36" s="31">
        <v>60</v>
      </c>
      <c r="AP36" s="31">
        <v>77</v>
      </c>
      <c r="AQ36" s="2">
        <f t="shared" si="9"/>
        <v>137</v>
      </c>
      <c r="AR36" s="31">
        <v>5</v>
      </c>
      <c r="AS36" s="31">
        <v>9</v>
      </c>
      <c r="AT36" s="2">
        <f t="shared" si="10"/>
        <v>14</v>
      </c>
      <c r="AU36" s="32">
        <v>0</v>
      </c>
      <c r="AV36" s="32">
        <v>0</v>
      </c>
      <c r="AW36" s="2">
        <f t="shared" si="11"/>
        <v>0</v>
      </c>
      <c r="AX36" s="33">
        <v>0</v>
      </c>
      <c r="AY36" s="33">
        <v>0</v>
      </c>
      <c r="AZ36" s="2">
        <f t="shared" si="12"/>
        <v>0</v>
      </c>
      <c r="BA36" s="31">
        <v>0</v>
      </c>
      <c r="BB36" s="31">
        <v>0</v>
      </c>
      <c r="BC36" s="2">
        <f t="shared" si="13"/>
        <v>0</v>
      </c>
      <c r="BD36" s="28">
        <f t="shared" si="85"/>
        <v>518</v>
      </c>
      <c r="BE36" s="28">
        <f t="shared" si="85"/>
        <v>264</v>
      </c>
      <c r="BF36" s="2">
        <f t="shared" si="15"/>
        <v>782</v>
      </c>
      <c r="BG36" s="28">
        <f t="shared" si="86"/>
        <v>60</v>
      </c>
      <c r="BH36" s="28">
        <f t="shared" si="86"/>
        <v>77</v>
      </c>
      <c r="BI36" s="2">
        <f t="shared" si="17"/>
        <v>137</v>
      </c>
      <c r="BJ36" s="28">
        <f t="shared" si="87"/>
        <v>5</v>
      </c>
      <c r="BK36" s="28">
        <f t="shared" si="87"/>
        <v>9</v>
      </c>
      <c r="BL36" s="2">
        <f t="shared" si="19"/>
        <v>14</v>
      </c>
      <c r="BM36" s="28">
        <f t="shared" si="20"/>
        <v>94.87</v>
      </c>
      <c r="BN36" s="28">
        <f t="shared" si="21"/>
        <v>92.96</v>
      </c>
      <c r="BO36" s="28">
        <f t="shared" si="22"/>
        <v>94.22</v>
      </c>
      <c r="BP36" s="28">
        <f t="shared" si="23"/>
        <v>86.96</v>
      </c>
      <c r="BQ36" s="28">
        <f t="shared" si="24"/>
        <v>92.77</v>
      </c>
      <c r="BR36" s="28">
        <f t="shared" si="25"/>
        <v>90.13</v>
      </c>
      <c r="BS36" s="28">
        <f t="shared" si="26"/>
        <v>71.430000000000007</v>
      </c>
      <c r="BT36" s="28">
        <f t="shared" si="27"/>
        <v>90</v>
      </c>
      <c r="BU36" s="28">
        <f t="shared" si="28"/>
        <v>82.35</v>
      </c>
      <c r="BV36" s="30"/>
      <c r="BW36" s="30"/>
      <c r="BX36" s="2">
        <f t="shared" si="29"/>
        <v>0</v>
      </c>
      <c r="BY36" s="31">
        <v>0</v>
      </c>
      <c r="BZ36" s="31">
        <v>0</v>
      </c>
      <c r="CA36" s="2">
        <f t="shared" si="76"/>
        <v>0</v>
      </c>
      <c r="CB36" s="31">
        <v>0</v>
      </c>
      <c r="CC36" s="31">
        <v>0</v>
      </c>
      <c r="CD36" s="2">
        <f t="shared" si="31"/>
        <v>0</v>
      </c>
      <c r="CE36" s="30">
        <v>0</v>
      </c>
      <c r="CF36" s="30">
        <v>0</v>
      </c>
      <c r="CG36" s="2">
        <f t="shared" si="77"/>
        <v>0</v>
      </c>
      <c r="CH36" s="31">
        <v>0</v>
      </c>
      <c r="CI36" s="31">
        <v>0</v>
      </c>
      <c r="CJ36" s="2">
        <f t="shared" si="33"/>
        <v>0</v>
      </c>
      <c r="CK36" s="31">
        <v>0</v>
      </c>
      <c r="CL36" s="31">
        <v>0</v>
      </c>
      <c r="CM36" s="2">
        <f t="shared" si="34"/>
        <v>0</v>
      </c>
      <c r="CN36" s="31">
        <v>0</v>
      </c>
      <c r="CO36" s="31">
        <v>0</v>
      </c>
      <c r="CP36" s="2">
        <f t="shared" si="35"/>
        <v>0</v>
      </c>
      <c r="CQ36" s="33">
        <v>0</v>
      </c>
      <c r="CR36" s="33">
        <v>0</v>
      </c>
      <c r="CS36" s="2">
        <f t="shared" si="36"/>
        <v>0</v>
      </c>
      <c r="CT36" s="33">
        <v>0</v>
      </c>
      <c r="CU36" s="33">
        <v>0</v>
      </c>
      <c r="CV36" s="2">
        <f t="shared" si="37"/>
        <v>0</v>
      </c>
      <c r="CW36" s="28">
        <f t="shared" si="88"/>
        <v>0</v>
      </c>
      <c r="CX36" s="28">
        <f t="shared" si="88"/>
        <v>0</v>
      </c>
      <c r="CY36" s="2">
        <f t="shared" si="39"/>
        <v>0</v>
      </c>
      <c r="CZ36" s="28">
        <f t="shared" si="89"/>
        <v>0</v>
      </c>
      <c r="DA36" s="28">
        <f t="shared" si="89"/>
        <v>0</v>
      </c>
      <c r="DB36" s="2">
        <f t="shared" si="41"/>
        <v>0</v>
      </c>
      <c r="DC36" s="28">
        <f t="shared" si="90"/>
        <v>0</v>
      </c>
      <c r="DD36" s="28">
        <f t="shared" si="90"/>
        <v>0</v>
      </c>
      <c r="DE36" s="2">
        <f t="shared" si="43"/>
        <v>0</v>
      </c>
      <c r="DF36" s="28" t="e">
        <f t="shared" si="44"/>
        <v>#DIV/0!</v>
      </c>
      <c r="DG36" s="28" t="e">
        <f t="shared" si="45"/>
        <v>#DIV/0!</v>
      </c>
      <c r="DH36" s="28" t="e">
        <f t="shared" si="46"/>
        <v>#DIV/0!</v>
      </c>
      <c r="DI36" s="28" t="e">
        <f t="shared" si="47"/>
        <v>#DIV/0!</v>
      </c>
      <c r="DJ36" s="28" t="e">
        <f t="shared" si="48"/>
        <v>#DIV/0!</v>
      </c>
      <c r="DK36" s="28" t="e">
        <f t="shared" si="49"/>
        <v>#DIV/0!</v>
      </c>
      <c r="DL36" s="28" t="e">
        <f t="shared" si="50"/>
        <v>#DIV/0!</v>
      </c>
      <c r="DM36" s="28" t="e">
        <f t="shared" si="51"/>
        <v>#DIV/0!</v>
      </c>
      <c r="DN36" s="28" t="e">
        <f t="shared" si="52"/>
        <v>#DIV/0!</v>
      </c>
      <c r="DO36" s="32">
        <v>249</v>
      </c>
      <c r="DP36" s="32">
        <v>165</v>
      </c>
      <c r="DQ36" s="2">
        <f t="shared" si="78"/>
        <v>414</v>
      </c>
      <c r="DR36" s="32">
        <v>16</v>
      </c>
      <c r="DS36" s="32">
        <v>39</v>
      </c>
      <c r="DT36" s="2">
        <f t="shared" si="79"/>
        <v>55</v>
      </c>
      <c r="DU36" s="32">
        <v>4</v>
      </c>
      <c r="DV36" s="32">
        <v>5</v>
      </c>
      <c r="DW36" s="2">
        <f t="shared" si="80"/>
        <v>9</v>
      </c>
      <c r="DX36" s="32">
        <v>269</v>
      </c>
      <c r="DY36" s="32">
        <v>99</v>
      </c>
      <c r="DZ36" s="2">
        <f t="shared" si="81"/>
        <v>368</v>
      </c>
      <c r="EA36" s="32">
        <v>44</v>
      </c>
      <c r="EB36" s="32">
        <v>38</v>
      </c>
      <c r="EC36" s="2">
        <f t="shared" si="82"/>
        <v>82</v>
      </c>
      <c r="ED36" s="32">
        <v>1</v>
      </c>
      <c r="EE36" s="32">
        <v>4</v>
      </c>
      <c r="EF36" s="2">
        <f t="shared" si="83"/>
        <v>5</v>
      </c>
      <c r="EG36" s="4">
        <f t="shared" si="59"/>
        <v>0</v>
      </c>
      <c r="EH36" s="91">
        <f t="shared" si="60"/>
        <v>0</v>
      </c>
      <c r="EI36" s="4">
        <f t="shared" si="84"/>
        <v>0</v>
      </c>
      <c r="EJ36" s="4">
        <f t="shared" si="62"/>
        <v>0</v>
      </c>
      <c r="EK36" s="4">
        <f t="shared" si="63"/>
        <v>0</v>
      </c>
      <c r="EL36" s="34"/>
    </row>
    <row r="37" spans="1:142" ht="28.5" x14ac:dyDescent="0.25">
      <c r="A37" s="76">
        <v>13</v>
      </c>
      <c r="B37" s="35" t="s">
        <v>70</v>
      </c>
      <c r="C37" s="27" t="s">
        <v>71</v>
      </c>
      <c r="D37" s="63">
        <v>42808</v>
      </c>
      <c r="E37" s="63">
        <v>42823</v>
      </c>
      <c r="F37" s="63">
        <v>42910</v>
      </c>
      <c r="G37" s="63">
        <v>42922</v>
      </c>
      <c r="H37" s="6">
        <v>3415</v>
      </c>
      <c r="I37" s="6">
        <v>397</v>
      </c>
      <c r="J37" s="6">
        <v>3896</v>
      </c>
      <c r="K37" s="2">
        <f t="shared" si="0"/>
        <v>7708</v>
      </c>
      <c r="L37" s="6">
        <v>257196</v>
      </c>
      <c r="M37" s="6">
        <v>37196</v>
      </c>
      <c r="N37" s="6">
        <v>156372</v>
      </c>
      <c r="O37" s="2">
        <f t="shared" si="1"/>
        <v>450764</v>
      </c>
      <c r="P37" s="6">
        <v>131368</v>
      </c>
      <c r="Q37" s="6">
        <v>18583</v>
      </c>
      <c r="R37" s="6">
        <v>99020</v>
      </c>
      <c r="S37" s="2">
        <f t="shared" si="2"/>
        <v>248971</v>
      </c>
      <c r="T37" s="15">
        <f t="shared" si="3"/>
        <v>55.23</v>
      </c>
      <c r="U37" s="6">
        <v>468</v>
      </c>
      <c r="V37" s="6">
        <v>741</v>
      </c>
      <c r="W37" s="6">
        <v>799</v>
      </c>
      <c r="X37" s="6">
        <v>716</v>
      </c>
      <c r="Y37" s="6">
        <v>801</v>
      </c>
      <c r="Z37" s="6">
        <v>878</v>
      </c>
      <c r="AA37" s="6">
        <v>3305</v>
      </c>
      <c r="AB37" s="29">
        <f t="shared" si="4"/>
        <v>0</v>
      </c>
      <c r="AC37" s="30">
        <v>257489</v>
      </c>
      <c r="AD37" s="30">
        <v>193275</v>
      </c>
      <c r="AE37" s="2">
        <f t="shared" si="5"/>
        <v>450764</v>
      </c>
      <c r="AF37" s="31">
        <v>92620</v>
      </c>
      <c r="AG37" s="31">
        <v>78800</v>
      </c>
      <c r="AH37" s="2">
        <f t="shared" si="6"/>
        <v>171420</v>
      </c>
      <c r="AI37" s="31">
        <v>34</v>
      </c>
      <c r="AJ37" s="31">
        <v>29</v>
      </c>
      <c r="AK37" s="2">
        <f t="shared" si="7"/>
        <v>63</v>
      </c>
      <c r="AL37" s="30">
        <v>96315</v>
      </c>
      <c r="AM37" s="30">
        <v>93686</v>
      </c>
      <c r="AN37" s="2">
        <f t="shared" si="8"/>
        <v>190001</v>
      </c>
      <c r="AO37" s="31">
        <v>33029</v>
      </c>
      <c r="AP37" s="31">
        <v>36042</v>
      </c>
      <c r="AQ37" s="2">
        <f t="shared" si="9"/>
        <v>69071</v>
      </c>
      <c r="AR37" s="31">
        <v>21</v>
      </c>
      <c r="AS37" s="31">
        <v>15</v>
      </c>
      <c r="AT37" s="2">
        <f t="shared" si="10"/>
        <v>36</v>
      </c>
      <c r="AU37" s="31">
        <v>35669</v>
      </c>
      <c r="AV37" s="31">
        <v>23301</v>
      </c>
      <c r="AW37" s="2">
        <f t="shared" si="11"/>
        <v>58970</v>
      </c>
      <c r="AX37" s="31">
        <v>7854</v>
      </c>
      <c r="AY37" s="31">
        <v>6182</v>
      </c>
      <c r="AZ37" s="2">
        <f t="shared" si="12"/>
        <v>14036</v>
      </c>
      <c r="BA37" s="31">
        <v>2</v>
      </c>
      <c r="BB37" s="31">
        <v>4</v>
      </c>
      <c r="BC37" s="2">
        <f t="shared" si="13"/>
        <v>6</v>
      </c>
      <c r="BD37" s="28">
        <f t="shared" si="85"/>
        <v>131984</v>
      </c>
      <c r="BE37" s="28">
        <f t="shared" si="85"/>
        <v>116987</v>
      </c>
      <c r="BF37" s="2">
        <f t="shared" si="15"/>
        <v>248971</v>
      </c>
      <c r="BG37" s="28">
        <f t="shared" si="86"/>
        <v>40883</v>
      </c>
      <c r="BH37" s="28">
        <f t="shared" si="86"/>
        <v>42224</v>
      </c>
      <c r="BI37" s="2">
        <f t="shared" si="17"/>
        <v>83107</v>
      </c>
      <c r="BJ37" s="28">
        <f t="shared" si="87"/>
        <v>23</v>
      </c>
      <c r="BK37" s="28">
        <f t="shared" si="87"/>
        <v>19</v>
      </c>
      <c r="BL37" s="2">
        <f t="shared" si="19"/>
        <v>42</v>
      </c>
      <c r="BM37" s="28">
        <f t="shared" si="20"/>
        <v>51.26</v>
      </c>
      <c r="BN37" s="28">
        <f t="shared" si="21"/>
        <v>60.53</v>
      </c>
      <c r="BO37" s="28">
        <f t="shared" si="22"/>
        <v>55.23</v>
      </c>
      <c r="BP37" s="28">
        <f t="shared" si="23"/>
        <v>44.14</v>
      </c>
      <c r="BQ37" s="28">
        <f t="shared" si="24"/>
        <v>53.58</v>
      </c>
      <c r="BR37" s="28">
        <f t="shared" si="25"/>
        <v>48.48</v>
      </c>
      <c r="BS37" s="28">
        <f t="shared" si="26"/>
        <v>67.650000000000006</v>
      </c>
      <c r="BT37" s="28">
        <f t="shared" si="27"/>
        <v>65.52</v>
      </c>
      <c r="BU37" s="28">
        <f t="shared" si="28"/>
        <v>66.67</v>
      </c>
      <c r="BV37" s="30">
        <v>0</v>
      </c>
      <c r="BW37" s="30">
        <v>0</v>
      </c>
      <c r="BX37" s="2">
        <f t="shared" si="29"/>
        <v>0</v>
      </c>
      <c r="BY37" s="31">
        <v>0</v>
      </c>
      <c r="BZ37" s="31">
        <v>0</v>
      </c>
      <c r="CA37" s="2">
        <f t="shared" si="76"/>
        <v>0</v>
      </c>
      <c r="CB37" s="31">
        <v>0</v>
      </c>
      <c r="CC37" s="31">
        <v>0</v>
      </c>
      <c r="CD37" s="2">
        <f t="shared" si="31"/>
        <v>0</v>
      </c>
      <c r="CE37" s="30">
        <v>0</v>
      </c>
      <c r="CF37" s="30">
        <v>0</v>
      </c>
      <c r="CG37" s="2">
        <f t="shared" si="77"/>
        <v>0</v>
      </c>
      <c r="CH37" s="31">
        <v>0</v>
      </c>
      <c r="CI37" s="31">
        <v>0</v>
      </c>
      <c r="CJ37" s="2">
        <f t="shared" si="33"/>
        <v>0</v>
      </c>
      <c r="CK37" s="31">
        <v>0</v>
      </c>
      <c r="CL37" s="31">
        <v>0</v>
      </c>
      <c r="CM37" s="2">
        <f t="shared" si="34"/>
        <v>0</v>
      </c>
      <c r="CN37" s="31">
        <v>0</v>
      </c>
      <c r="CO37" s="31">
        <v>0</v>
      </c>
      <c r="CP37" s="2">
        <f t="shared" si="35"/>
        <v>0</v>
      </c>
      <c r="CQ37" s="31">
        <v>0</v>
      </c>
      <c r="CR37" s="31">
        <v>0</v>
      </c>
      <c r="CS37" s="2">
        <f t="shared" si="36"/>
        <v>0</v>
      </c>
      <c r="CT37" s="31">
        <v>0</v>
      </c>
      <c r="CU37" s="31">
        <v>0</v>
      </c>
      <c r="CV37" s="2">
        <f t="shared" si="37"/>
        <v>0</v>
      </c>
      <c r="CW37" s="28">
        <f t="shared" si="88"/>
        <v>0</v>
      </c>
      <c r="CX37" s="28">
        <f t="shared" si="88"/>
        <v>0</v>
      </c>
      <c r="CY37" s="2">
        <f t="shared" si="39"/>
        <v>0</v>
      </c>
      <c r="CZ37" s="28">
        <f t="shared" si="89"/>
        <v>0</v>
      </c>
      <c r="DA37" s="28">
        <f t="shared" si="89"/>
        <v>0</v>
      </c>
      <c r="DB37" s="2">
        <f t="shared" si="41"/>
        <v>0</v>
      </c>
      <c r="DC37" s="28">
        <f t="shared" si="90"/>
        <v>0</v>
      </c>
      <c r="DD37" s="28">
        <f t="shared" si="90"/>
        <v>0</v>
      </c>
      <c r="DE37" s="2">
        <f t="shared" si="43"/>
        <v>0</v>
      </c>
      <c r="DF37" s="28" t="e">
        <f t="shared" si="44"/>
        <v>#DIV/0!</v>
      </c>
      <c r="DG37" s="28" t="e">
        <f t="shared" si="45"/>
        <v>#DIV/0!</v>
      </c>
      <c r="DH37" s="28" t="e">
        <f t="shared" si="46"/>
        <v>#DIV/0!</v>
      </c>
      <c r="DI37" s="28" t="e">
        <f t="shared" si="47"/>
        <v>#DIV/0!</v>
      </c>
      <c r="DJ37" s="28" t="e">
        <f t="shared" si="48"/>
        <v>#DIV/0!</v>
      </c>
      <c r="DK37" s="28" t="e">
        <f t="shared" si="49"/>
        <v>#DIV/0!</v>
      </c>
      <c r="DL37" s="28" t="e">
        <f t="shared" si="50"/>
        <v>#DIV/0!</v>
      </c>
      <c r="DM37" s="28" t="e">
        <f t="shared" si="51"/>
        <v>#DIV/0!</v>
      </c>
      <c r="DN37" s="28" t="e">
        <f t="shared" si="52"/>
        <v>#DIV/0!</v>
      </c>
      <c r="DO37" s="32">
        <v>92147</v>
      </c>
      <c r="DP37" s="32">
        <v>98190</v>
      </c>
      <c r="DQ37" s="2">
        <f t="shared" si="78"/>
        <v>190337</v>
      </c>
      <c r="DR37" s="32">
        <v>26097</v>
      </c>
      <c r="DS37" s="32">
        <v>33745</v>
      </c>
      <c r="DT37" s="2">
        <f t="shared" si="79"/>
        <v>59842</v>
      </c>
      <c r="DU37" s="32">
        <v>18</v>
      </c>
      <c r="DV37" s="32">
        <v>17</v>
      </c>
      <c r="DW37" s="2">
        <f t="shared" si="80"/>
        <v>35</v>
      </c>
      <c r="DX37" s="32">
        <v>39840</v>
      </c>
      <c r="DY37" s="32">
        <v>18794</v>
      </c>
      <c r="DZ37" s="2">
        <f t="shared" si="81"/>
        <v>58634</v>
      </c>
      <c r="EA37" s="32">
        <v>14786</v>
      </c>
      <c r="EB37" s="32">
        <v>8479</v>
      </c>
      <c r="EC37" s="2">
        <f t="shared" si="82"/>
        <v>23265</v>
      </c>
      <c r="ED37" s="32">
        <v>5</v>
      </c>
      <c r="EE37" s="32">
        <v>2</v>
      </c>
      <c r="EF37" s="2">
        <f t="shared" si="83"/>
        <v>7</v>
      </c>
      <c r="EG37" s="4">
        <f t="shared" si="59"/>
        <v>0</v>
      </c>
      <c r="EH37" s="91">
        <f t="shared" si="60"/>
        <v>0</v>
      </c>
      <c r="EI37" s="4">
        <f t="shared" si="84"/>
        <v>0</v>
      </c>
      <c r="EJ37" s="4">
        <f t="shared" si="62"/>
        <v>0</v>
      </c>
      <c r="EK37" s="4">
        <f t="shared" si="63"/>
        <v>0</v>
      </c>
      <c r="EL37" s="34"/>
    </row>
    <row r="38" spans="1:142" ht="28.5" x14ac:dyDescent="0.25">
      <c r="A38" s="51">
        <v>17</v>
      </c>
      <c r="B38" s="43" t="s">
        <v>79</v>
      </c>
      <c r="C38" s="48" t="s">
        <v>80</v>
      </c>
      <c r="D38" s="64">
        <v>42783</v>
      </c>
      <c r="E38" s="64">
        <v>42804</v>
      </c>
      <c r="F38" s="64">
        <v>42943</v>
      </c>
      <c r="G38" s="64">
        <v>42947</v>
      </c>
      <c r="H38" s="46">
        <v>4067</v>
      </c>
      <c r="I38" s="46">
        <v>0</v>
      </c>
      <c r="J38" s="46">
        <v>2531</v>
      </c>
      <c r="K38" s="2">
        <f t="shared" si="0"/>
        <v>6598</v>
      </c>
      <c r="L38" s="46">
        <v>283943</v>
      </c>
      <c r="M38" s="46">
        <v>0</v>
      </c>
      <c r="N38" s="46">
        <v>98813</v>
      </c>
      <c r="O38" s="2">
        <f t="shared" si="1"/>
        <v>382756</v>
      </c>
      <c r="P38" s="46">
        <v>150813</v>
      </c>
      <c r="Q38" s="46">
        <v>0</v>
      </c>
      <c r="R38" s="46">
        <v>67383</v>
      </c>
      <c r="S38" s="2">
        <f t="shared" si="2"/>
        <v>218196</v>
      </c>
      <c r="T38" s="15">
        <f t="shared" si="3"/>
        <v>57.01</v>
      </c>
      <c r="U38" s="46">
        <v>214</v>
      </c>
      <c r="V38" s="46">
        <v>401</v>
      </c>
      <c r="W38" s="46">
        <v>429</v>
      </c>
      <c r="X38" s="46">
        <v>510</v>
      </c>
      <c r="Y38" s="46">
        <v>669</v>
      </c>
      <c r="Z38" s="46">
        <v>846</v>
      </c>
      <c r="AA38" s="46">
        <v>3529</v>
      </c>
      <c r="AB38" s="29">
        <f t="shared" si="4"/>
        <v>0</v>
      </c>
      <c r="AC38" s="46">
        <v>188722</v>
      </c>
      <c r="AD38" s="46">
        <v>194034</v>
      </c>
      <c r="AE38" s="46">
        <f t="shared" si="5"/>
        <v>382756</v>
      </c>
      <c r="AF38" s="46">
        <v>17883</v>
      </c>
      <c r="AG38" s="46">
        <v>18381</v>
      </c>
      <c r="AH38" s="46">
        <f t="shared" si="6"/>
        <v>36264</v>
      </c>
      <c r="AI38" s="46">
        <v>37511</v>
      </c>
      <c r="AJ38" s="46">
        <v>37393</v>
      </c>
      <c r="AK38" s="2">
        <f t="shared" si="7"/>
        <v>74904</v>
      </c>
      <c r="AL38" s="46">
        <v>93479</v>
      </c>
      <c r="AM38" s="46">
        <v>90464</v>
      </c>
      <c r="AN38" s="46">
        <f t="shared" si="8"/>
        <v>183943</v>
      </c>
      <c r="AO38" s="46">
        <v>7656</v>
      </c>
      <c r="AP38" s="46">
        <v>7191</v>
      </c>
      <c r="AQ38" s="46">
        <f t="shared" si="9"/>
        <v>14847</v>
      </c>
      <c r="AR38" s="46">
        <v>15255</v>
      </c>
      <c r="AS38" s="46">
        <v>14072</v>
      </c>
      <c r="AT38" s="46">
        <f t="shared" si="10"/>
        <v>29327</v>
      </c>
      <c r="AU38" s="46">
        <v>17722</v>
      </c>
      <c r="AV38" s="46">
        <v>16531</v>
      </c>
      <c r="AW38" s="46">
        <f t="shared" si="11"/>
        <v>34253</v>
      </c>
      <c r="AX38" s="46">
        <v>1889</v>
      </c>
      <c r="AY38" s="46">
        <v>1770</v>
      </c>
      <c r="AZ38" s="2">
        <f t="shared" si="12"/>
        <v>3659</v>
      </c>
      <c r="BA38" s="46">
        <v>4510</v>
      </c>
      <c r="BB38" s="46">
        <v>3957</v>
      </c>
      <c r="BC38" s="46">
        <f t="shared" si="13"/>
        <v>8467</v>
      </c>
      <c r="BD38" s="46">
        <f t="shared" si="85"/>
        <v>111201</v>
      </c>
      <c r="BE38" s="46">
        <f t="shared" si="85"/>
        <v>106995</v>
      </c>
      <c r="BF38" s="46">
        <f t="shared" si="15"/>
        <v>218196</v>
      </c>
      <c r="BG38" s="46">
        <f t="shared" si="86"/>
        <v>9545</v>
      </c>
      <c r="BH38" s="46">
        <f t="shared" si="86"/>
        <v>8961</v>
      </c>
      <c r="BI38" s="46">
        <f t="shared" si="17"/>
        <v>18506</v>
      </c>
      <c r="BJ38" s="46">
        <f t="shared" si="87"/>
        <v>19765</v>
      </c>
      <c r="BK38" s="46">
        <f t="shared" si="87"/>
        <v>18029</v>
      </c>
      <c r="BL38" s="46">
        <f t="shared" si="19"/>
        <v>37794</v>
      </c>
      <c r="BM38" s="46">
        <f t="shared" si="20"/>
        <v>58.92</v>
      </c>
      <c r="BN38" s="46">
        <f t="shared" si="21"/>
        <v>55.14</v>
      </c>
      <c r="BO38" s="46">
        <f t="shared" si="22"/>
        <v>57.01</v>
      </c>
      <c r="BP38" s="46">
        <f t="shared" si="23"/>
        <v>53.37</v>
      </c>
      <c r="BQ38" s="46">
        <f t="shared" si="24"/>
        <v>48.75</v>
      </c>
      <c r="BR38" s="46">
        <f t="shared" si="25"/>
        <v>51.03</v>
      </c>
      <c r="BS38" s="46">
        <f t="shared" si="26"/>
        <v>52.69</v>
      </c>
      <c r="BT38" s="46">
        <f t="shared" si="27"/>
        <v>48.21</v>
      </c>
      <c r="BU38" s="46">
        <f t="shared" si="28"/>
        <v>50.46</v>
      </c>
      <c r="BV38" s="46">
        <v>0</v>
      </c>
      <c r="BW38" s="46">
        <v>0</v>
      </c>
      <c r="BX38" s="46">
        <f t="shared" si="29"/>
        <v>0</v>
      </c>
      <c r="BY38" s="46">
        <v>0</v>
      </c>
      <c r="BZ38" s="46">
        <v>0</v>
      </c>
      <c r="CA38" s="2">
        <f t="shared" si="76"/>
        <v>0</v>
      </c>
      <c r="CB38" s="46">
        <v>0</v>
      </c>
      <c r="CC38" s="46">
        <v>0</v>
      </c>
      <c r="CD38" s="2">
        <f t="shared" si="31"/>
        <v>0</v>
      </c>
      <c r="CE38" s="46">
        <v>0</v>
      </c>
      <c r="CF38" s="46">
        <v>0</v>
      </c>
      <c r="CG38" s="46">
        <f t="shared" si="77"/>
        <v>0</v>
      </c>
      <c r="CH38" s="46">
        <v>0</v>
      </c>
      <c r="CI38" s="46">
        <v>0</v>
      </c>
      <c r="CJ38" s="2">
        <f t="shared" si="33"/>
        <v>0</v>
      </c>
      <c r="CK38" s="46">
        <v>0</v>
      </c>
      <c r="CL38" s="46">
        <v>0</v>
      </c>
      <c r="CM38" s="2">
        <f t="shared" si="34"/>
        <v>0</v>
      </c>
      <c r="CN38" s="46">
        <v>0</v>
      </c>
      <c r="CO38" s="46">
        <v>0</v>
      </c>
      <c r="CP38" s="2">
        <f t="shared" si="35"/>
        <v>0</v>
      </c>
      <c r="CQ38" s="46">
        <v>0</v>
      </c>
      <c r="CR38" s="46">
        <v>0</v>
      </c>
      <c r="CS38" s="2">
        <f t="shared" si="36"/>
        <v>0</v>
      </c>
      <c r="CT38" s="46">
        <v>0</v>
      </c>
      <c r="CU38" s="46">
        <v>0</v>
      </c>
      <c r="CV38" s="2">
        <f t="shared" si="37"/>
        <v>0</v>
      </c>
      <c r="CW38" s="46">
        <f t="shared" si="88"/>
        <v>0</v>
      </c>
      <c r="CX38" s="46">
        <f t="shared" si="88"/>
        <v>0</v>
      </c>
      <c r="CY38" s="46">
        <f t="shared" si="39"/>
        <v>0</v>
      </c>
      <c r="CZ38" s="28">
        <f t="shared" si="89"/>
        <v>0</v>
      </c>
      <c r="DA38" s="28">
        <f t="shared" si="89"/>
        <v>0</v>
      </c>
      <c r="DB38" s="2">
        <f t="shared" si="41"/>
        <v>0</v>
      </c>
      <c r="DC38" s="28">
        <f t="shared" si="90"/>
        <v>0</v>
      </c>
      <c r="DD38" s="28">
        <f t="shared" si="90"/>
        <v>0</v>
      </c>
      <c r="DE38" s="2">
        <f t="shared" si="43"/>
        <v>0</v>
      </c>
      <c r="DF38" s="46" t="e">
        <f t="shared" si="44"/>
        <v>#DIV/0!</v>
      </c>
      <c r="DG38" s="46" t="e">
        <f t="shared" si="45"/>
        <v>#DIV/0!</v>
      </c>
      <c r="DH38" s="46" t="e">
        <f t="shared" si="46"/>
        <v>#DIV/0!</v>
      </c>
      <c r="DI38" s="28" t="e">
        <f t="shared" si="47"/>
        <v>#DIV/0!</v>
      </c>
      <c r="DJ38" s="28" t="e">
        <f t="shared" si="48"/>
        <v>#DIV/0!</v>
      </c>
      <c r="DK38" s="28" t="e">
        <f t="shared" si="49"/>
        <v>#DIV/0!</v>
      </c>
      <c r="DL38" s="28" t="e">
        <f t="shared" si="50"/>
        <v>#DIV/0!</v>
      </c>
      <c r="DM38" s="28" t="e">
        <f t="shared" si="51"/>
        <v>#DIV/0!</v>
      </c>
      <c r="DN38" s="28" t="e">
        <f t="shared" si="52"/>
        <v>#DIV/0!</v>
      </c>
      <c r="DO38" s="46">
        <v>25995</v>
      </c>
      <c r="DP38" s="46">
        <v>30514</v>
      </c>
      <c r="DQ38" s="46">
        <f t="shared" si="78"/>
        <v>56509</v>
      </c>
      <c r="DR38" s="46">
        <v>1922</v>
      </c>
      <c r="DS38" s="46">
        <v>1726</v>
      </c>
      <c r="DT38" s="46">
        <f t="shared" si="79"/>
        <v>3648</v>
      </c>
      <c r="DU38" s="46">
        <v>3797</v>
      </c>
      <c r="DV38" s="46">
        <v>3250</v>
      </c>
      <c r="DW38" s="46">
        <f t="shared" si="80"/>
        <v>7047</v>
      </c>
      <c r="DX38" s="46">
        <v>74381</v>
      </c>
      <c r="DY38" s="46">
        <v>87306</v>
      </c>
      <c r="DZ38" s="2">
        <f t="shared" si="81"/>
        <v>161687</v>
      </c>
      <c r="EA38" s="46">
        <v>7623</v>
      </c>
      <c r="EB38" s="46">
        <v>7235</v>
      </c>
      <c r="EC38" s="2">
        <f t="shared" si="82"/>
        <v>14858</v>
      </c>
      <c r="ED38" s="46">
        <v>15968</v>
      </c>
      <c r="EE38" s="46">
        <v>14779</v>
      </c>
      <c r="EF38" s="2">
        <f t="shared" si="83"/>
        <v>30747</v>
      </c>
      <c r="EG38" s="4">
        <f t="shared" si="59"/>
        <v>0</v>
      </c>
      <c r="EH38" s="91">
        <f t="shared" si="60"/>
        <v>0</v>
      </c>
      <c r="EI38" s="4">
        <f t="shared" si="84"/>
        <v>0</v>
      </c>
      <c r="EJ38" s="4">
        <f t="shared" si="62"/>
        <v>0</v>
      </c>
      <c r="EK38" s="4">
        <f t="shared" si="63"/>
        <v>0</v>
      </c>
    </row>
    <row r="39" spans="1:142" ht="30" x14ac:dyDescent="0.25">
      <c r="A39" s="51">
        <v>40</v>
      </c>
      <c r="B39" s="48" t="s">
        <v>125</v>
      </c>
      <c r="C39" s="48" t="s">
        <v>119</v>
      </c>
      <c r="D39" s="65" t="s">
        <v>75</v>
      </c>
      <c r="E39" s="65" t="s">
        <v>75</v>
      </c>
      <c r="F39" s="65" t="s">
        <v>75</v>
      </c>
      <c r="G39" s="65" t="s">
        <v>75</v>
      </c>
      <c r="H39" s="46">
        <v>0</v>
      </c>
      <c r="I39" s="46">
        <v>0</v>
      </c>
      <c r="J39" s="46">
        <v>0</v>
      </c>
      <c r="K39" s="46">
        <f t="shared" si="0"/>
        <v>0</v>
      </c>
      <c r="L39" s="46">
        <v>0</v>
      </c>
      <c r="M39" s="46">
        <v>0</v>
      </c>
      <c r="N39" s="46">
        <v>0</v>
      </c>
      <c r="O39" s="46">
        <f t="shared" si="1"/>
        <v>0</v>
      </c>
      <c r="P39" s="46">
        <v>0</v>
      </c>
      <c r="Q39" s="46">
        <v>0</v>
      </c>
      <c r="R39" s="46">
        <v>283725</v>
      </c>
      <c r="S39" s="46">
        <f t="shared" si="2"/>
        <v>283725</v>
      </c>
      <c r="T39" s="46" t="e">
        <f t="shared" si="3"/>
        <v>#DIV/0!</v>
      </c>
      <c r="U39" s="46">
        <v>5059</v>
      </c>
      <c r="V39" s="46">
        <v>4841</v>
      </c>
      <c r="W39" s="46">
        <v>1506</v>
      </c>
      <c r="X39" s="46">
        <v>489</v>
      </c>
      <c r="Y39" s="46">
        <v>182</v>
      </c>
      <c r="Z39" s="46">
        <v>69</v>
      </c>
      <c r="AA39" s="46">
        <v>42</v>
      </c>
      <c r="AB39" s="47">
        <f t="shared" si="4"/>
        <v>-12188</v>
      </c>
      <c r="AC39" s="46">
        <v>490870</v>
      </c>
      <c r="AD39" s="46">
        <v>491227</v>
      </c>
      <c r="AE39" s="46">
        <f t="shared" si="5"/>
        <v>982097</v>
      </c>
      <c r="AF39" s="46">
        <v>117953</v>
      </c>
      <c r="AG39" s="46">
        <v>123166</v>
      </c>
      <c r="AH39" s="46">
        <f t="shared" si="6"/>
        <v>241119</v>
      </c>
      <c r="AI39" s="46">
        <v>4798</v>
      </c>
      <c r="AJ39" s="46">
        <v>4849</v>
      </c>
      <c r="AK39" s="46">
        <f t="shared" si="7"/>
        <v>9647</v>
      </c>
      <c r="AL39" s="46">
        <v>454212</v>
      </c>
      <c r="AM39" s="46">
        <v>472499</v>
      </c>
      <c r="AN39" s="46">
        <f t="shared" si="8"/>
        <v>926711</v>
      </c>
      <c r="AO39" s="46">
        <v>103904</v>
      </c>
      <c r="AP39" s="46">
        <v>11458</v>
      </c>
      <c r="AQ39" s="46">
        <f t="shared" si="9"/>
        <v>115362</v>
      </c>
      <c r="AR39" s="46">
        <v>4200</v>
      </c>
      <c r="AS39" s="46">
        <v>4357</v>
      </c>
      <c r="AT39" s="46">
        <f t="shared" si="10"/>
        <v>8557</v>
      </c>
      <c r="AU39" s="46"/>
      <c r="AV39" s="46"/>
      <c r="AW39" s="46">
        <f t="shared" si="11"/>
        <v>0</v>
      </c>
      <c r="AX39" s="46"/>
      <c r="AY39" s="46"/>
      <c r="AZ39" s="46">
        <f t="shared" si="12"/>
        <v>0</v>
      </c>
      <c r="BA39" s="46"/>
      <c r="BB39" s="46"/>
      <c r="BC39" s="46">
        <f t="shared" si="13"/>
        <v>0</v>
      </c>
      <c r="BD39" s="46"/>
      <c r="BE39" s="46"/>
      <c r="BF39" s="46">
        <f t="shared" si="15"/>
        <v>0</v>
      </c>
      <c r="BG39" s="46"/>
      <c r="BH39" s="46"/>
      <c r="BI39" s="46">
        <f t="shared" si="17"/>
        <v>0</v>
      </c>
      <c r="BJ39" s="46"/>
      <c r="BK39" s="46"/>
      <c r="BL39" s="46">
        <f t="shared" si="19"/>
        <v>0</v>
      </c>
      <c r="BM39" s="46">
        <f t="shared" si="20"/>
        <v>0</v>
      </c>
      <c r="BN39" s="46">
        <f t="shared" si="21"/>
        <v>0</v>
      </c>
      <c r="BO39" s="46">
        <f t="shared" si="22"/>
        <v>0</v>
      </c>
      <c r="BP39" s="46">
        <f t="shared" si="23"/>
        <v>0</v>
      </c>
      <c r="BQ39" s="46">
        <f t="shared" si="24"/>
        <v>0</v>
      </c>
      <c r="BR39" s="46">
        <f t="shared" si="25"/>
        <v>0</v>
      </c>
      <c r="BS39" s="46">
        <f t="shared" si="26"/>
        <v>0</v>
      </c>
      <c r="BT39" s="46">
        <f t="shared" si="27"/>
        <v>0</v>
      </c>
      <c r="BU39" s="46">
        <f t="shared" si="28"/>
        <v>0</v>
      </c>
      <c r="BV39" s="46">
        <v>31867</v>
      </c>
      <c r="BW39" s="46">
        <v>11940</v>
      </c>
      <c r="BX39" s="46">
        <f t="shared" si="29"/>
        <v>43807</v>
      </c>
      <c r="BY39" s="46">
        <v>10394</v>
      </c>
      <c r="BZ39" s="46">
        <v>3967</v>
      </c>
      <c r="CA39" s="46">
        <f t="shared" si="76"/>
        <v>14361</v>
      </c>
      <c r="CB39" s="46">
        <v>327</v>
      </c>
      <c r="CC39" s="46">
        <v>150</v>
      </c>
      <c r="CD39" s="46">
        <f t="shared" si="31"/>
        <v>477</v>
      </c>
      <c r="CE39" s="46">
        <v>7495</v>
      </c>
      <c r="CF39" s="46">
        <v>4347</v>
      </c>
      <c r="CG39" s="46">
        <f t="shared" si="77"/>
        <v>11842</v>
      </c>
      <c r="CH39" s="46">
        <v>2183</v>
      </c>
      <c r="CI39" s="46">
        <v>1211</v>
      </c>
      <c r="CJ39" s="46">
        <f t="shared" si="33"/>
        <v>3394</v>
      </c>
      <c r="CK39" s="46">
        <v>69</v>
      </c>
      <c r="CL39" s="46">
        <v>46</v>
      </c>
      <c r="CM39" s="46">
        <f t="shared" si="34"/>
        <v>115</v>
      </c>
      <c r="CN39" s="46">
        <v>0</v>
      </c>
      <c r="CO39" s="46">
        <v>0</v>
      </c>
      <c r="CP39" s="46">
        <f t="shared" si="35"/>
        <v>0</v>
      </c>
      <c r="CQ39" s="46">
        <v>0</v>
      </c>
      <c r="CR39" s="46">
        <v>0</v>
      </c>
      <c r="CS39" s="46">
        <f t="shared" si="36"/>
        <v>0</v>
      </c>
      <c r="CT39" s="46">
        <v>0</v>
      </c>
      <c r="CU39" s="46">
        <v>0</v>
      </c>
      <c r="CV39" s="46">
        <f t="shared" si="37"/>
        <v>0</v>
      </c>
      <c r="CW39" s="46">
        <v>0</v>
      </c>
      <c r="CX39" s="46">
        <v>0</v>
      </c>
      <c r="CY39" s="46">
        <f t="shared" si="39"/>
        <v>0</v>
      </c>
      <c r="CZ39" s="46">
        <v>0</v>
      </c>
      <c r="DA39" s="46">
        <v>0</v>
      </c>
      <c r="DB39" s="46">
        <f t="shared" si="41"/>
        <v>0</v>
      </c>
      <c r="DC39" s="46">
        <v>0</v>
      </c>
      <c r="DD39" s="46">
        <v>0</v>
      </c>
      <c r="DE39" s="46">
        <f t="shared" si="43"/>
        <v>0</v>
      </c>
      <c r="DF39" s="46">
        <f t="shared" si="44"/>
        <v>0</v>
      </c>
      <c r="DG39" s="46">
        <f t="shared" si="45"/>
        <v>0</v>
      </c>
      <c r="DH39" s="46">
        <f t="shared" si="46"/>
        <v>0</v>
      </c>
      <c r="DI39" s="46">
        <f t="shared" si="47"/>
        <v>0</v>
      </c>
      <c r="DJ39" s="46">
        <f t="shared" si="48"/>
        <v>0</v>
      </c>
      <c r="DK39" s="46">
        <f t="shared" si="49"/>
        <v>0</v>
      </c>
      <c r="DL39" s="46">
        <f t="shared" si="50"/>
        <v>0</v>
      </c>
      <c r="DM39" s="46">
        <f t="shared" si="51"/>
        <v>0</v>
      </c>
      <c r="DN39" s="46">
        <f t="shared" si="52"/>
        <v>0</v>
      </c>
      <c r="DO39" s="46">
        <v>348603</v>
      </c>
      <c r="DP39" s="46">
        <v>406794</v>
      </c>
      <c r="DQ39" s="46">
        <f t="shared" si="78"/>
        <v>755397</v>
      </c>
      <c r="DR39" s="46">
        <v>69963</v>
      </c>
      <c r="DS39" s="46">
        <v>89856</v>
      </c>
      <c r="DT39" s="46">
        <f t="shared" si="79"/>
        <v>159819</v>
      </c>
      <c r="DU39" s="46">
        <v>2751</v>
      </c>
      <c r="DV39" s="46">
        <v>3029</v>
      </c>
      <c r="DW39" s="46">
        <f t="shared" si="80"/>
        <v>5780</v>
      </c>
      <c r="DX39" s="46">
        <v>105609</v>
      </c>
      <c r="DY39" s="46">
        <v>65705</v>
      </c>
      <c r="DZ39" s="46">
        <f t="shared" si="81"/>
        <v>171314</v>
      </c>
      <c r="EA39" s="46">
        <v>33941</v>
      </c>
      <c r="EB39" s="46">
        <v>25002</v>
      </c>
      <c r="EC39" s="46">
        <f t="shared" si="82"/>
        <v>58943</v>
      </c>
      <c r="ED39" s="46">
        <v>1449</v>
      </c>
      <c r="EE39" s="46">
        <v>1328</v>
      </c>
      <c r="EF39" s="46">
        <f t="shared" si="83"/>
        <v>2777</v>
      </c>
      <c r="EG39" s="46">
        <f t="shared" si="59"/>
        <v>-1025904</v>
      </c>
      <c r="EH39" s="46">
        <f t="shared" si="60"/>
        <v>283725</v>
      </c>
      <c r="EI39" s="46">
        <f t="shared" si="84"/>
        <v>926711</v>
      </c>
      <c r="EJ39" s="46">
        <f t="shared" si="62"/>
        <v>218762</v>
      </c>
      <c r="EK39" s="46">
        <f t="shared" si="63"/>
        <v>8557</v>
      </c>
    </row>
    <row r="40" spans="1:142" ht="30" x14ac:dyDescent="0.25">
      <c r="A40" s="51">
        <v>26</v>
      </c>
      <c r="B40" s="45" t="s">
        <v>102</v>
      </c>
      <c r="C40" s="48" t="s">
        <v>103</v>
      </c>
      <c r="D40" s="64">
        <v>42797</v>
      </c>
      <c r="E40" s="64">
        <v>42817</v>
      </c>
      <c r="F40" s="65" t="s">
        <v>75</v>
      </c>
      <c r="G40" s="65" t="s">
        <v>75</v>
      </c>
      <c r="H40" s="46">
        <v>956</v>
      </c>
      <c r="I40" s="46">
        <v>0</v>
      </c>
      <c r="J40" s="46">
        <v>0</v>
      </c>
      <c r="K40" s="46">
        <f t="shared" si="0"/>
        <v>956</v>
      </c>
      <c r="L40" s="46">
        <v>49374</v>
      </c>
      <c r="M40" s="46">
        <v>0</v>
      </c>
      <c r="N40" s="46">
        <v>0</v>
      </c>
      <c r="O40" s="46">
        <f t="shared" si="1"/>
        <v>49374</v>
      </c>
      <c r="P40" s="46">
        <v>29289</v>
      </c>
      <c r="Q40" s="46">
        <v>0</v>
      </c>
      <c r="R40" s="46">
        <v>0</v>
      </c>
      <c r="S40" s="46">
        <f t="shared" si="2"/>
        <v>29289</v>
      </c>
      <c r="T40" s="46">
        <f t="shared" si="3"/>
        <v>59.32</v>
      </c>
      <c r="U40" s="46">
        <v>1598</v>
      </c>
      <c r="V40" s="46">
        <v>51</v>
      </c>
      <c r="W40" s="46">
        <v>67</v>
      </c>
      <c r="X40" s="46">
        <v>119</v>
      </c>
      <c r="Y40" s="46">
        <v>126</v>
      </c>
      <c r="Z40" s="46">
        <v>139</v>
      </c>
      <c r="AA40" s="46">
        <v>335</v>
      </c>
      <c r="AB40" s="47">
        <f t="shared" si="4"/>
        <v>-1479</v>
      </c>
      <c r="AC40" s="46">
        <v>23837</v>
      </c>
      <c r="AD40" s="46">
        <v>24516</v>
      </c>
      <c r="AE40" s="46">
        <f t="shared" si="5"/>
        <v>48353</v>
      </c>
      <c r="AF40" s="46">
        <v>4644</v>
      </c>
      <c r="AG40" s="46">
        <v>4581</v>
      </c>
      <c r="AH40" s="46">
        <f t="shared" si="6"/>
        <v>9225</v>
      </c>
      <c r="AI40" s="46">
        <v>7905</v>
      </c>
      <c r="AJ40" s="46">
        <v>7934</v>
      </c>
      <c r="AK40" s="46">
        <f t="shared" si="7"/>
        <v>15839</v>
      </c>
      <c r="AL40" s="46">
        <v>14724</v>
      </c>
      <c r="AM40" s="46">
        <v>14279</v>
      </c>
      <c r="AN40" s="46">
        <f t="shared" si="8"/>
        <v>29003</v>
      </c>
      <c r="AO40" s="46">
        <v>3091</v>
      </c>
      <c r="AP40" s="46">
        <v>2989</v>
      </c>
      <c r="AQ40" s="46">
        <f t="shared" si="9"/>
        <v>6080</v>
      </c>
      <c r="AR40" s="46">
        <v>3614</v>
      </c>
      <c r="AS40" s="46">
        <v>3023</v>
      </c>
      <c r="AT40" s="46">
        <f t="shared" si="10"/>
        <v>6637</v>
      </c>
      <c r="AU40" s="46">
        <v>0</v>
      </c>
      <c r="AV40" s="46">
        <v>0</v>
      </c>
      <c r="AW40" s="46">
        <f t="shared" si="11"/>
        <v>0</v>
      </c>
      <c r="AX40" s="46">
        <v>0</v>
      </c>
      <c r="AY40" s="46">
        <v>0</v>
      </c>
      <c r="AZ40" s="46">
        <f t="shared" si="12"/>
        <v>0</v>
      </c>
      <c r="BA40" s="46">
        <v>0</v>
      </c>
      <c r="BB40" s="46">
        <v>0</v>
      </c>
      <c r="BC40" s="46">
        <f t="shared" si="13"/>
        <v>0</v>
      </c>
      <c r="BD40" s="46">
        <f>AL40+AU40</f>
        <v>14724</v>
      </c>
      <c r="BE40" s="46">
        <f>AM40+AV40</f>
        <v>14279</v>
      </c>
      <c r="BF40" s="46">
        <f t="shared" si="15"/>
        <v>29003</v>
      </c>
      <c r="BG40" s="46">
        <f>AO40+AX40</f>
        <v>3091</v>
      </c>
      <c r="BH40" s="46">
        <f>AP40+AY40</f>
        <v>2989</v>
      </c>
      <c r="BI40" s="46">
        <f t="shared" si="17"/>
        <v>6080</v>
      </c>
      <c r="BJ40" s="46">
        <f>AR40+BA40</f>
        <v>3614</v>
      </c>
      <c r="BK40" s="46">
        <f>AS40+BB40</f>
        <v>3023</v>
      </c>
      <c r="BL40" s="46">
        <f t="shared" si="19"/>
        <v>6637</v>
      </c>
      <c r="BM40" s="46">
        <f t="shared" si="20"/>
        <v>61.77</v>
      </c>
      <c r="BN40" s="46">
        <f t="shared" si="21"/>
        <v>58.24</v>
      </c>
      <c r="BO40" s="46">
        <f t="shared" si="22"/>
        <v>59.98</v>
      </c>
      <c r="BP40" s="46">
        <f t="shared" si="23"/>
        <v>66.56</v>
      </c>
      <c r="BQ40" s="46">
        <f t="shared" si="24"/>
        <v>65.25</v>
      </c>
      <c r="BR40" s="46">
        <f t="shared" si="25"/>
        <v>65.91</v>
      </c>
      <c r="BS40" s="46">
        <f t="shared" si="26"/>
        <v>45.72</v>
      </c>
      <c r="BT40" s="46">
        <f t="shared" si="27"/>
        <v>38.1</v>
      </c>
      <c r="BU40" s="46">
        <f t="shared" si="28"/>
        <v>41.9</v>
      </c>
      <c r="BV40" s="46">
        <v>488</v>
      </c>
      <c r="BW40" s="46">
        <v>533</v>
      </c>
      <c r="BX40" s="46">
        <f t="shared" si="29"/>
        <v>1021</v>
      </c>
      <c r="BY40" s="46">
        <v>95</v>
      </c>
      <c r="BZ40" s="46">
        <v>84</v>
      </c>
      <c r="CA40" s="46">
        <f t="shared" si="76"/>
        <v>179</v>
      </c>
      <c r="CB40" s="46">
        <v>139</v>
      </c>
      <c r="CC40" s="46">
        <v>170</v>
      </c>
      <c r="CD40" s="46">
        <f t="shared" si="31"/>
        <v>309</v>
      </c>
      <c r="CE40" s="46">
        <v>98</v>
      </c>
      <c r="CF40" s="46">
        <v>188</v>
      </c>
      <c r="CG40" s="46">
        <f t="shared" si="77"/>
        <v>286</v>
      </c>
      <c r="CH40" s="46">
        <v>16</v>
      </c>
      <c r="CI40" s="46">
        <v>36</v>
      </c>
      <c r="CJ40" s="46">
        <f t="shared" si="33"/>
        <v>52</v>
      </c>
      <c r="CK40" s="46">
        <v>29</v>
      </c>
      <c r="CL40" s="46">
        <v>40</v>
      </c>
      <c r="CM40" s="46">
        <f t="shared" si="34"/>
        <v>69</v>
      </c>
      <c r="CN40" s="46">
        <v>0</v>
      </c>
      <c r="CO40" s="46">
        <v>0</v>
      </c>
      <c r="CP40" s="46">
        <f t="shared" si="35"/>
        <v>0</v>
      </c>
      <c r="CQ40" s="46">
        <v>0</v>
      </c>
      <c r="CR40" s="46">
        <v>0</v>
      </c>
      <c r="CS40" s="46">
        <f t="shared" si="36"/>
        <v>0</v>
      </c>
      <c r="CT40" s="46">
        <v>0</v>
      </c>
      <c r="CU40" s="46">
        <v>0</v>
      </c>
      <c r="CV40" s="2">
        <f t="shared" si="37"/>
        <v>0</v>
      </c>
      <c r="CW40" s="46">
        <f>CE40+CN40</f>
        <v>98</v>
      </c>
      <c r="CX40" s="46">
        <f>CF40+CO40</f>
        <v>188</v>
      </c>
      <c r="CY40" s="46">
        <f t="shared" si="39"/>
        <v>286</v>
      </c>
      <c r="CZ40" s="28">
        <f>CH40+CQ40</f>
        <v>16</v>
      </c>
      <c r="DA40" s="28">
        <f>CI40+CR40</f>
        <v>36</v>
      </c>
      <c r="DB40" s="2">
        <f t="shared" si="41"/>
        <v>52</v>
      </c>
      <c r="DC40" s="28">
        <f>CK40+CT40</f>
        <v>29</v>
      </c>
      <c r="DD40" s="28">
        <f>CL40+CU40</f>
        <v>40</v>
      </c>
      <c r="DE40" s="2">
        <f t="shared" si="43"/>
        <v>69</v>
      </c>
      <c r="DF40" s="46">
        <f t="shared" si="44"/>
        <v>20.079999999999998</v>
      </c>
      <c r="DG40" s="46">
        <f t="shared" si="45"/>
        <v>35.270000000000003</v>
      </c>
      <c r="DH40" s="46">
        <f t="shared" si="46"/>
        <v>28.01</v>
      </c>
      <c r="DI40" s="46">
        <f t="shared" si="47"/>
        <v>16.84</v>
      </c>
      <c r="DJ40" s="46">
        <f t="shared" si="48"/>
        <v>42.86</v>
      </c>
      <c r="DK40" s="46">
        <f t="shared" si="49"/>
        <v>29.05</v>
      </c>
      <c r="DL40" s="28">
        <f t="shared" si="50"/>
        <v>20.86</v>
      </c>
      <c r="DM40" s="28">
        <f t="shared" si="51"/>
        <v>23.53</v>
      </c>
      <c r="DN40" s="28">
        <f t="shared" si="52"/>
        <v>22.33</v>
      </c>
      <c r="DO40" s="46">
        <v>2325</v>
      </c>
      <c r="DP40" s="46">
        <v>2155</v>
      </c>
      <c r="DQ40" s="46">
        <f t="shared" si="78"/>
        <v>4480</v>
      </c>
      <c r="DR40" s="46">
        <v>510</v>
      </c>
      <c r="DS40" s="46">
        <v>456</v>
      </c>
      <c r="DT40" s="46">
        <f t="shared" si="79"/>
        <v>966</v>
      </c>
      <c r="DU40" s="46">
        <v>128</v>
      </c>
      <c r="DV40" s="46">
        <v>104</v>
      </c>
      <c r="DW40" s="46">
        <f t="shared" si="80"/>
        <v>232</v>
      </c>
      <c r="DX40" s="46">
        <v>12497</v>
      </c>
      <c r="DY40" s="46">
        <v>12312</v>
      </c>
      <c r="DZ40" s="46">
        <f t="shared" si="81"/>
        <v>24809</v>
      </c>
      <c r="EA40" s="46">
        <v>2597</v>
      </c>
      <c r="EB40" s="46">
        <v>2569</v>
      </c>
      <c r="EC40" s="46">
        <f t="shared" si="82"/>
        <v>5166</v>
      </c>
      <c r="ED40" s="46">
        <v>3515</v>
      </c>
      <c r="EE40" s="46">
        <v>2959</v>
      </c>
      <c r="EF40" s="46">
        <f t="shared" si="83"/>
        <v>6474</v>
      </c>
      <c r="EG40" s="46">
        <f t="shared" si="59"/>
        <v>0</v>
      </c>
      <c r="EH40" s="46">
        <f t="shared" si="60"/>
        <v>0</v>
      </c>
      <c r="EI40" s="46">
        <f t="shared" si="84"/>
        <v>0</v>
      </c>
      <c r="EJ40" s="46">
        <f t="shared" si="62"/>
        <v>0</v>
      </c>
      <c r="EK40" s="46">
        <f t="shared" si="63"/>
        <v>0</v>
      </c>
    </row>
    <row r="41" spans="1:142" ht="28.5" x14ac:dyDescent="0.25">
      <c r="A41" s="50">
        <v>14</v>
      </c>
      <c r="B41" s="35" t="s">
        <v>73</v>
      </c>
      <c r="C41" s="27" t="s">
        <v>74</v>
      </c>
      <c r="D41" s="63">
        <v>42814</v>
      </c>
      <c r="E41" s="63">
        <v>42824</v>
      </c>
      <c r="F41" s="63">
        <v>42944</v>
      </c>
      <c r="G41" s="63">
        <v>42952</v>
      </c>
      <c r="H41" s="6"/>
      <c r="I41" s="6" t="s">
        <v>75</v>
      </c>
      <c r="J41" s="6"/>
      <c r="K41" s="2">
        <f t="shared" si="0"/>
        <v>0</v>
      </c>
      <c r="L41" s="6">
        <v>0</v>
      </c>
      <c r="M41" s="6">
        <v>162</v>
      </c>
      <c r="N41" s="6">
        <v>80</v>
      </c>
      <c r="O41" s="2">
        <f t="shared" si="1"/>
        <v>242</v>
      </c>
      <c r="P41" s="6">
        <v>0</v>
      </c>
      <c r="Q41" s="6">
        <v>159</v>
      </c>
      <c r="R41" s="6">
        <v>77</v>
      </c>
      <c r="S41" s="2">
        <f t="shared" si="2"/>
        <v>236</v>
      </c>
      <c r="T41" s="15">
        <f t="shared" si="3"/>
        <v>97.52</v>
      </c>
      <c r="U41" s="6"/>
      <c r="V41" s="6">
        <v>4</v>
      </c>
      <c r="W41" s="6"/>
      <c r="X41" s="6"/>
      <c r="Y41" s="6"/>
      <c r="Z41" s="6"/>
      <c r="AA41" s="6"/>
      <c r="AB41" s="29">
        <f t="shared" si="4"/>
        <v>-4</v>
      </c>
      <c r="AC41" s="30">
        <v>125</v>
      </c>
      <c r="AD41" s="30">
        <v>117</v>
      </c>
      <c r="AE41" s="2">
        <f t="shared" si="5"/>
        <v>242</v>
      </c>
      <c r="AF41" s="31">
        <v>20</v>
      </c>
      <c r="AG41" s="31">
        <v>20</v>
      </c>
      <c r="AH41" s="2">
        <f t="shared" si="6"/>
        <v>40</v>
      </c>
      <c r="AI41" s="31">
        <v>13</v>
      </c>
      <c r="AJ41" s="31">
        <v>20</v>
      </c>
      <c r="AK41" s="2">
        <f t="shared" si="7"/>
        <v>33</v>
      </c>
      <c r="AL41" s="30">
        <v>120</v>
      </c>
      <c r="AM41" s="30">
        <v>110</v>
      </c>
      <c r="AN41" s="2">
        <f t="shared" si="8"/>
        <v>230</v>
      </c>
      <c r="AO41" s="31">
        <v>19</v>
      </c>
      <c r="AP41" s="31">
        <v>17</v>
      </c>
      <c r="AQ41" s="2">
        <f t="shared" si="9"/>
        <v>36</v>
      </c>
      <c r="AR41" s="31">
        <v>12</v>
      </c>
      <c r="AS41" s="31">
        <v>19</v>
      </c>
      <c r="AT41" s="2">
        <f t="shared" si="10"/>
        <v>31</v>
      </c>
      <c r="AU41" s="31">
        <v>2</v>
      </c>
      <c r="AV41" s="31">
        <v>4</v>
      </c>
      <c r="AW41" s="2">
        <f t="shared" si="11"/>
        <v>6</v>
      </c>
      <c r="AX41" s="30">
        <v>1</v>
      </c>
      <c r="AY41" s="30">
        <v>1</v>
      </c>
      <c r="AZ41" s="2">
        <f t="shared" si="12"/>
        <v>2</v>
      </c>
      <c r="BA41" s="33">
        <v>0</v>
      </c>
      <c r="BB41" s="33">
        <v>0</v>
      </c>
      <c r="BC41" s="2">
        <f t="shared" si="13"/>
        <v>0</v>
      </c>
      <c r="BD41" s="28">
        <f>AL41+AU41</f>
        <v>122</v>
      </c>
      <c r="BE41" s="28">
        <f>AM41+AV41</f>
        <v>114</v>
      </c>
      <c r="BF41" s="2">
        <f t="shared" si="15"/>
        <v>236</v>
      </c>
      <c r="BG41" s="28">
        <f>AO41+AX41</f>
        <v>20</v>
      </c>
      <c r="BH41" s="28">
        <f>AP41+AY41</f>
        <v>18</v>
      </c>
      <c r="BI41" s="2">
        <f t="shared" si="17"/>
        <v>38</v>
      </c>
      <c r="BJ41" s="28">
        <f>AR41+BA41</f>
        <v>12</v>
      </c>
      <c r="BK41" s="28">
        <f>AS41+BB41</f>
        <v>19</v>
      </c>
      <c r="BL41" s="2">
        <f t="shared" si="19"/>
        <v>31</v>
      </c>
      <c r="BM41" s="28">
        <f t="shared" si="20"/>
        <v>97.6</v>
      </c>
      <c r="BN41" s="28">
        <f t="shared" si="21"/>
        <v>97.44</v>
      </c>
      <c r="BO41" s="28">
        <f t="shared" si="22"/>
        <v>97.52</v>
      </c>
      <c r="BP41" s="28">
        <f t="shared" si="23"/>
        <v>100</v>
      </c>
      <c r="BQ41" s="28">
        <f t="shared" si="24"/>
        <v>90</v>
      </c>
      <c r="BR41" s="28">
        <f t="shared" si="25"/>
        <v>95</v>
      </c>
      <c r="BS41" s="28">
        <f t="shared" si="26"/>
        <v>92.31</v>
      </c>
      <c r="BT41" s="28">
        <f t="shared" si="27"/>
        <v>95</v>
      </c>
      <c r="BU41" s="28">
        <f t="shared" si="28"/>
        <v>93.94</v>
      </c>
      <c r="BV41" s="30">
        <v>0</v>
      </c>
      <c r="BW41" s="30">
        <v>0</v>
      </c>
      <c r="BX41" s="2">
        <f t="shared" si="29"/>
        <v>0</v>
      </c>
      <c r="BY41" s="31">
        <v>0</v>
      </c>
      <c r="BZ41" s="31">
        <v>0</v>
      </c>
      <c r="CA41" s="2">
        <f t="shared" si="76"/>
        <v>0</v>
      </c>
      <c r="CB41" s="31">
        <v>0</v>
      </c>
      <c r="CC41" s="31">
        <v>0</v>
      </c>
      <c r="CD41" s="2">
        <f t="shared" si="31"/>
        <v>0</v>
      </c>
      <c r="CE41" s="30">
        <v>0</v>
      </c>
      <c r="CF41" s="30">
        <v>0</v>
      </c>
      <c r="CG41" s="2">
        <f t="shared" si="77"/>
        <v>0</v>
      </c>
      <c r="CH41" s="31">
        <v>0</v>
      </c>
      <c r="CI41" s="31">
        <v>0</v>
      </c>
      <c r="CJ41" s="2">
        <f t="shared" si="33"/>
        <v>0</v>
      </c>
      <c r="CK41" s="31">
        <v>0</v>
      </c>
      <c r="CL41" s="31">
        <v>0</v>
      </c>
      <c r="CM41" s="2">
        <f t="shared" si="34"/>
        <v>0</v>
      </c>
      <c r="CN41" s="31">
        <v>0</v>
      </c>
      <c r="CO41" s="31">
        <v>0</v>
      </c>
      <c r="CP41" s="2">
        <f t="shared" si="35"/>
        <v>0</v>
      </c>
      <c r="CQ41" s="31">
        <v>0</v>
      </c>
      <c r="CR41" s="31">
        <v>0</v>
      </c>
      <c r="CS41" s="2">
        <f t="shared" si="36"/>
        <v>0</v>
      </c>
      <c r="CT41" s="31">
        <v>0</v>
      </c>
      <c r="CU41" s="31">
        <v>0</v>
      </c>
      <c r="CV41" s="2">
        <f t="shared" si="37"/>
        <v>0</v>
      </c>
      <c r="CW41" s="28">
        <f>CE41+CN41</f>
        <v>0</v>
      </c>
      <c r="CX41" s="28">
        <f>CF41+CO41</f>
        <v>0</v>
      </c>
      <c r="CY41" s="2">
        <f t="shared" si="39"/>
        <v>0</v>
      </c>
      <c r="CZ41" s="28">
        <f>CH41+CQ41</f>
        <v>0</v>
      </c>
      <c r="DA41" s="28">
        <f>CI41+CR41</f>
        <v>0</v>
      </c>
      <c r="DB41" s="2">
        <f t="shared" si="41"/>
        <v>0</v>
      </c>
      <c r="DC41" s="28">
        <f>CK41+CT41</f>
        <v>0</v>
      </c>
      <c r="DD41" s="28">
        <f>CL41+CU41</f>
        <v>0</v>
      </c>
      <c r="DE41" s="2">
        <f t="shared" si="43"/>
        <v>0</v>
      </c>
      <c r="DF41" s="28" t="e">
        <f t="shared" si="44"/>
        <v>#DIV/0!</v>
      </c>
      <c r="DG41" s="28" t="e">
        <f t="shared" si="45"/>
        <v>#DIV/0!</v>
      </c>
      <c r="DH41" s="28" t="e">
        <f t="shared" si="46"/>
        <v>#DIV/0!</v>
      </c>
      <c r="DI41" s="28" t="e">
        <f t="shared" si="47"/>
        <v>#DIV/0!</v>
      </c>
      <c r="DJ41" s="28" t="e">
        <f t="shared" si="48"/>
        <v>#DIV/0!</v>
      </c>
      <c r="DK41" s="28" t="e">
        <f t="shared" si="49"/>
        <v>#DIV/0!</v>
      </c>
      <c r="DL41" s="28" t="e">
        <f t="shared" si="50"/>
        <v>#DIV/0!</v>
      </c>
      <c r="DM41" s="28" t="e">
        <f t="shared" si="51"/>
        <v>#DIV/0!</v>
      </c>
      <c r="DN41" s="28" t="e">
        <f t="shared" si="52"/>
        <v>#DIV/0!</v>
      </c>
      <c r="DO41" s="32">
        <v>93</v>
      </c>
      <c r="DP41" s="32">
        <v>94</v>
      </c>
      <c r="DQ41" s="2">
        <f t="shared" si="78"/>
        <v>187</v>
      </c>
      <c r="DR41" s="32">
        <v>15</v>
      </c>
      <c r="DS41" s="32">
        <v>12</v>
      </c>
      <c r="DT41" s="2">
        <f t="shared" si="79"/>
        <v>27</v>
      </c>
      <c r="DU41" s="32">
        <v>9</v>
      </c>
      <c r="DV41" s="32">
        <v>13</v>
      </c>
      <c r="DW41" s="2">
        <f t="shared" si="80"/>
        <v>22</v>
      </c>
      <c r="DX41" s="32">
        <v>29</v>
      </c>
      <c r="DY41" s="32">
        <v>20</v>
      </c>
      <c r="DZ41" s="2">
        <f t="shared" si="81"/>
        <v>49</v>
      </c>
      <c r="EA41" s="32">
        <v>5</v>
      </c>
      <c r="EB41" s="32">
        <v>6</v>
      </c>
      <c r="EC41" s="2">
        <f t="shared" si="82"/>
        <v>11</v>
      </c>
      <c r="ED41" s="32">
        <v>3</v>
      </c>
      <c r="EE41" s="32">
        <v>6</v>
      </c>
      <c r="EF41" s="2">
        <f t="shared" si="83"/>
        <v>9</v>
      </c>
      <c r="EG41" s="4">
        <f t="shared" si="59"/>
        <v>0</v>
      </c>
      <c r="EH41" s="4">
        <f t="shared" si="60"/>
        <v>0</v>
      </c>
      <c r="EI41" s="4">
        <f t="shared" si="84"/>
        <v>0</v>
      </c>
      <c r="EJ41" s="4">
        <f t="shared" si="62"/>
        <v>0</v>
      </c>
      <c r="EK41" s="4">
        <f t="shared" si="63"/>
        <v>0</v>
      </c>
      <c r="EL41" s="34"/>
    </row>
    <row r="42" spans="1:142" x14ac:dyDescent="0.25">
      <c r="A42" s="51">
        <v>43</v>
      </c>
      <c r="B42" s="1" t="s">
        <v>129</v>
      </c>
      <c r="C42" s="27" t="s">
        <v>72</v>
      </c>
      <c r="D42" s="70">
        <v>42843</v>
      </c>
      <c r="E42" s="70">
        <v>42852</v>
      </c>
      <c r="F42" s="46" t="s">
        <v>101</v>
      </c>
      <c r="G42" s="46" t="s">
        <v>101</v>
      </c>
      <c r="H42" s="46">
        <v>2</v>
      </c>
      <c r="I42" s="46">
        <v>971</v>
      </c>
      <c r="J42" s="46">
        <v>118</v>
      </c>
      <c r="K42" s="46">
        <f t="shared" si="0"/>
        <v>1091</v>
      </c>
      <c r="L42" s="46">
        <v>25</v>
      </c>
      <c r="M42" s="46">
        <v>12957</v>
      </c>
      <c r="N42" s="46">
        <v>5900</v>
      </c>
      <c r="O42" s="46">
        <f t="shared" si="1"/>
        <v>18882</v>
      </c>
      <c r="P42" s="46">
        <v>20</v>
      </c>
      <c r="Q42" s="46">
        <v>12245</v>
      </c>
      <c r="R42" s="46">
        <v>5892</v>
      </c>
      <c r="S42" s="46">
        <f t="shared" si="2"/>
        <v>18157</v>
      </c>
      <c r="T42" s="46">
        <f t="shared" si="3"/>
        <v>96.16</v>
      </c>
      <c r="U42" s="46">
        <v>0</v>
      </c>
      <c r="V42" s="46">
        <v>598</v>
      </c>
      <c r="W42" s="46">
        <v>349</v>
      </c>
      <c r="X42" s="46">
        <v>46</v>
      </c>
      <c r="Y42" s="46">
        <v>97</v>
      </c>
      <c r="Z42" s="46">
        <v>1</v>
      </c>
      <c r="AA42" s="46">
        <v>0</v>
      </c>
      <c r="AB42" s="47">
        <f t="shared" si="4"/>
        <v>0</v>
      </c>
      <c r="AC42" s="46">
        <v>11829</v>
      </c>
      <c r="AD42" s="46">
        <v>4870</v>
      </c>
      <c r="AE42" s="46">
        <f t="shared" si="5"/>
        <v>16699</v>
      </c>
      <c r="AF42" s="46">
        <v>1499</v>
      </c>
      <c r="AG42" s="46">
        <v>787</v>
      </c>
      <c r="AH42" s="46">
        <f t="shared" si="6"/>
        <v>2286</v>
      </c>
      <c r="AI42" s="46">
        <v>5</v>
      </c>
      <c r="AJ42" s="46">
        <v>0</v>
      </c>
      <c r="AK42" s="46">
        <f t="shared" si="7"/>
        <v>5</v>
      </c>
      <c r="AL42" s="46">
        <v>11328</v>
      </c>
      <c r="AM42" s="46">
        <v>4673</v>
      </c>
      <c r="AN42" s="46">
        <f t="shared" si="8"/>
        <v>16001</v>
      </c>
      <c r="AO42" s="46">
        <v>1280</v>
      </c>
      <c r="AP42" s="46">
        <v>702</v>
      </c>
      <c r="AQ42" s="46">
        <f t="shared" si="9"/>
        <v>1982</v>
      </c>
      <c r="AR42" s="46">
        <v>4</v>
      </c>
      <c r="AS42" s="46">
        <v>0</v>
      </c>
      <c r="AT42" s="46">
        <f t="shared" si="10"/>
        <v>4</v>
      </c>
      <c r="AU42" s="46">
        <v>0</v>
      </c>
      <c r="AV42" s="46">
        <v>0</v>
      </c>
      <c r="AW42" s="46">
        <f t="shared" si="11"/>
        <v>0</v>
      </c>
      <c r="AX42" s="46">
        <v>0</v>
      </c>
      <c r="AY42" s="46">
        <v>0</v>
      </c>
      <c r="AZ42" s="46">
        <f t="shared" si="12"/>
        <v>0</v>
      </c>
      <c r="BA42" s="46">
        <v>0</v>
      </c>
      <c r="BB42" s="46">
        <v>0</v>
      </c>
      <c r="BC42" s="46">
        <f t="shared" si="13"/>
        <v>0</v>
      </c>
      <c r="BD42" s="46">
        <v>11328</v>
      </c>
      <c r="BE42" s="46">
        <v>4673</v>
      </c>
      <c r="BF42" s="46">
        <f t="shared" si="15"/>
        <v>16001</v>
      </c>
      <c r="BG42" s="46">
        <v>1280</v>
      </c>
      <c r="BH42" s="46">
        <v>702</v>
      </c>
      <c r="BI42" s="46">
        <f t="shared" si="17"/>
        <v>1982</v>
      </c>
      <c r="BJ42" s="46">
        <v>4</v>
      </c>
      <c r="BK42" s="46">
        <v>0</v>
      </c>
      <c r="BL42" s="46">
        <f t="shared" si="19"/>
        <v>4</v>
      </c>
      <c r="BM42" s="46">
        <f t="shared" si="20"/>
        <v>95.76</v>
      </c>
      <c r="BN42" s="46">
        <f t="shared" si="21"/>
        <v>95.95</v>
      </c>
      <c r="BO42" s="46">
        <f t="shared" si="22"/>
        <v>95.82</v>
      </c>
      <c r="BP42" s="46">
        <f t="shared" si="23"/>
        <v>85.39</v>
      </c>
      <c r="BQ42" s="46">
        <f t="shared" si="24"/>
        <v>89.2</v>
      </c>
      <c r="BR42" s="46">
        <f t="shared" si="25"/>
        <v>86.7</v>
      </c>
      <c r="BS42" s="46">
        <f t="shared" si="26"/>
        <v>80</v>
      </c>
      <c r="BT42" s="46" t="e">
        <f t="shared" si="27"/>
        <v>#DIV/0!</v>
      </c>
      <c r="BU42" s="46">
        <f t="shared" si="28"/>
        <v>80</v>
      </c>
      <c r="BV42" s="46">
        <v>1128</v>
      </c>
      <c r="BW42" s="46">
        <v>516</v>
      </c>
      <c r="BX42" s="46">
        <f t="shared" si="29"/>
        <v>1644</v>
      </c>
      <c r="BY42" s="46">
        <v>63</v>
      </c>
      <c r="BZ42" s="46">
        <v>60</v>
      </c>
      <c r="CA42" s="46">
        <f t="shared" si="76"/>
        <v>123</v>
      </c>
      <c r="CB42" s="46">
        <v>0</v>
      </c>
      <c r="CC42" s="46">
        <v>0</v>
      </c>
      <c r="CD42" s="46">
        <f t="shared" si="31"/>
        <v>0</v>
      </c>
      <c r="CE42" s="46">
        <v>917</v>
      </c>
      <c r="CF42" s="46">
        <v>423</v>
      </c>
      <c r="CG42" s="46">
        <f t="shared" si="77"/>
        <v>1340</v>
      </c>
      <c r="CH42" s="46">
        <v>44</v>
      </c>
      <c r="CI42" s="46">
        <v>53</v>
      </c>
      <c r="CJ42" s="46">
        <f t="shared" si="33"/>
        <v>97</v>
      </c>
      <c r="CK42" s="46">
        <v>0</v>
      </c>
      <c r="CL42" s="46">
        <v>0</v>
      </c>
      <c r="CM42" s="46">
        <f t="shared" si="34"/>
        <v>0</v>
      </c>
      <c r="CN42" s="46">
        <v>0</v>
      </c>
      <c r="CO42" s="46">
        <v>0</v>
      </c>
      <c r="CP42" s="46">
        <f t="shared" si="35"/>
        <v>0</v>
      </c>
      <c r="CQ42" s="46">
        <v>0</v>
      </c>
      <c r="CR42" s="46">
        <v>0</v>
      </c>
      <c r="CS42" s="46">
        <f t="shared" si="36"/>
        <v>0</v>
      </c>
      <c r="CT42" s="46">
        <v>0</v>
      </c>
      <c r="CU42" s="46">
        <v>0</v>
      </c>
      <c r="CV42" s="46">
        <f t="shared" si="37"/>
        <v>0</v>
      </c>
      <c r="CW42" s="46">
        <v>917</v>
      </c>
      <c r="CX42" s="46">
        <v>423</v>
      </c>
      <c r="CY42" s="46">
        <f t="shared" si="39"/>
        <v>1340</v>
      </c>
      <c r="CZ42" s="46">
        <v>44</v>
      </c>
      <c r="DA42" s="46">
        <v>53</v>
      </c>
      <c r="DB42" s="46">
        <f t="shared" si="41"/>
        <v>97</v>
      </c>
      <c r="DC42" s="46">
        <v>0</v>
      </c>
      <c r="DD42" s="46">
        <v>0</v>
      </c>
      <c r="DE42" s="46">
        <f t="shared" si="43"/>
        <v>0</v>
      </c>
      <c r="DF42" s="46">
        <f t="shared" si="44"/>
        <v>81.290000000000006</v>
      </c>
      <c r="DG42" s="46">
        <f t="shared" si="45"/>
        <v>81.98</v>
      </c>
      <c r="DH42" s="46">
        <f t="shared" si="46"/>
        <v>81.510000000000005</v>
      </c>
      <c r="DI42" s="46">
        <f t="shared" si="47"/>
        <v>69.84</v>
      </c>
      <c r="DJ42" s="46">
        <f t="shared" si="48"/>
        <v>88.33</v>
      </c>
      <c r="DK42" s="46">
        <f t="shared" si="49"/>
        <v>78.86</v>
      </c>
      <c r="DL42" s="46" t="e">
        <f t="shared" si="50"/>
        <v>#DIV/0!</v>
      </c>
      <c r="DM42" s="46" t="e">
        <f t="shared" si="51"/>
        <v>#DIV/0!</v>
      </c>
      <c r="DN42" s="46" t="e">
        <f t="shared" si="52"/>
        <v>#DIV/0!</v>
      </c>
      <c r="DO42" s="46">
        <v>6530</v>
      </c>
      <c r="DP42" s="46">
        <v>3080</v>
      </c>
      <c r="DQ42" s="46">
        <f t="shared" si="78"/>
        <v>9610</v>
      </c>
      <c r="DR42" s="46">
        <v>550</v>
      </c>
      <c r="DS42" s="46">
        <v>680</v>
      </c>
      <c r="DT42" s="46">
        <f t="shared" si="79"/>
        <v>1230</v>
      </c>
      <c r="DU42" s="46">
        <v>3</v>
      </c>
      <c r="DV42" s="46">
        <v>0</v>
      </c>
      <c r="DW42" s="46">
        <f t="shared" si="80"/>
        <v>3</v>
      </c>
      <c r="DX42" s="46">
        <v>5715</v>
      </c>
      <c r="DY42" s="46">
        <v>2016</v>
      </c>
      <c r="DZ42" s="46">
        <f t="shared" si="81"/>
        <v>7731</v>
      </c>
      <c r="EA42" s="46">
        <v>774</v>
      </c>
      <c r="EB42" s="46">
        <v>75</v>
      </c>
      <c r="EC42" s="46">
        <f t="shared" si="82"/>
        <v>849</v>
      </c>
      <c r="ED42" s="46">
        <v>1</v>
      </c>
      <c r="EE42" s="46">
        <v>0</v>
      </c>
      <c r="EF42" s="46">
        <f t="shared" si="83"/>
        <v>1</v>
      </c>
      <c r="EG42" s="46">
        <f t="shared" si="59"/>
        <v>539</v>
      </c>
      <c r="EH42" s="46">
        <f t="shared" si="60"/>
        <v>816</v>
      </c>
      <c r="EI42" s="46">
        <f t="shared" si="84"/>
        <v>0</v>
      </c>
      <c r="EJ42" s="46">
        <f t="shared" si="62"/>
        <v>0</v>
      </c>
      <c r="EK42" s="46">
        <f t="shared" si="63"/>
        <v>0</v>
      </c>
      <c r="EL42" s="71"/>
    </row>
    <row r="43" spans="1:142" x14ac:dyDescent="0.25">
      <c r="A43" s="76">
        <v>1</v>
      </c>
      <c r="B43" s="1" t="s">
        <v>85</v>
      </c>
      <c r="C43" s="27" t="s">
        <v>72</v>
      </c>
      <c r="D43" s="63">
        <v>42826</v>
      </c>
      <c r="E43" s="63">
        <v>42810</v>
      </c>
      <c r="F43" s="63">
        <v>42947</v>
      </c>
      <c r="G43" s="63">
        <v>42947</v>
      </c>
      <c r="H43" s="6">
        <v>1910</v>
      </c>
      <c r="I43" s="6">
        <v>4531</v>
      </c>
      <c r="J43" s="6">
        <v>17901</v>
      </c>
      <c r="K43" s="2">
        <f t="shared" si="0"/>
        <v>24342</v>
      </c>
      <c r="L43" s="6">
        <v>116274</v>
      </c>
      <c r="M43" s="6">
        <v>805412</v>
      </c>
      <c r="N43" s="6">
        <v>1936785</v>
      </c>
      <c r="O43" s="2">
        <f t="shared" si="1"/>
        <v>2858471</v>
      </c>
      <c r="P43" s="6">
        <v>85435</v>
      </c>
      <c r="Q43" s="6">
        <v>616662</v>
      </c>
      <c r="R43" s="6">
        <v>1625513</v>
      </c>
      <c r="S43" s="2">
        <f t="shared" si="2"/>
        <v>2327610</v>
      </c>
      <c r="T43" s="15">
        <f t="shared" si="3"/>
        <v>81.430000000000007</v>
      </c>
      <c r="U43" s="6">
        <v>1911</v>
      </c>
      <c r="V43" s="6">
        <v>7053</v>
      </c>
      <c r="W43" s="6">
        <v>5598</v>
      </c>
      <c r="X43" s="6">
        <v>4013</v>
      </c>
      <c r="Y43" s="6">
        <v>2685</v>
      </c>
      <c r="Z43" s="6">
        <v>1551</v>
      </c>
      <c r="AA43" s="6">
        <v>1531</v>
      </c>
      <c r="AB43" s="18">
        <f t="shared" si="4"/>
        <v>0</v>
      </c>
      <c r="AC43" s="21">
        <v>1520426</v>
      </c>
      <c r="AD43" s="21">
        <v>1338045</v>
      </c>
      <c r="AE43" s="2">
        <f t="shared" si="5"/>
        <v>2858471</v>
      </c>
      <c r="AF43" s="21">
        <v>345966</v>
      </c>
      <c r="AG43" s="21">
        <v>301752</v>
      </c>
      <c r="AH43" s="2">
        <f t="shared" si="6"/>
        <v>647718</v>
      </c>
      <c r="AI43" s="21">
        <v>11391</v>
      </c>
      <c r="AJ43" s="21">
        <v>9445</v>
      </c>
      <c r="AK43" s="2">
        <f t="shared" si="7"/>
        <v>20836</v>
      </c>
      <c r="AL43" s="21">
        <v>1167948</v>
      </c>
      <c r="AM43" s="21">
        <v>1159662</v>
      </c>
      <c r="AN43" s="2">
        <f t="shared" si="8"/>
        <v>2327610</v>
      </c>
      <c r="AO43" s="21">
        <v>242066</v>
      </c>
      <c r="AP43" s="21">
        <v>238925</v>
      </c>
      <c r="AQ43" s="2">
        <f t="shared" si="9"/>
        <v>480991</v>
      </c>
      <c r="AR43" s="21">
        <v>8118</v>
      </c>
      <c r="AS43" s="21">
        <v>7552</v>
      </c>
      <c r="AT43" s="2">
        <f t="shared" si="10"/>
        <v>15670</v>
      </c>
      <c r="AU43" s="21">
        <v>181</v>
      </c>
      <c r="AV43" s="21">
        <v>64</v>
      </c>
      <c r="AW43" s="2">
        <f t="shared" si="11"/>
        <v>245</v>
      </c>
      <c r="AX43" s="21">
        <v>27</v>
      </c>
      <c r="AY43" s="21">
        <v>16</v>
      </c>
      <c r="AZ43" s="2">
        <f t="shared" si="12"/>
        <v>43</v>
      </c>
      <c r="BA43" s="21">
        <v>1</v>
      </c>
      <c r="BB43" s="21">
        <v>1</v>
      </c>
      <c r="BC43" s="2">
        <f t="shared" si="13"/>
        <v>2</v>
      </c>
      <c r="BD43" s="21">
        <v>1168129</v>
      </c>
      <c r="BE43" s="21">
        <v>1159726</v>
      </c>
      <c r="BF43" s="2">
        <f t="shared" si="15"/>
        <v>2327855</v>
      </c>
      <c r="BG43" s="21">
        <v>242093</v>
      </c>
      <c r="BH43" s="21">
        <v>238941</v>
      </c>
      <c r="BI43" s="2">
        <f t="shared" si="17"/>
        <v>481034</v>
      </c>
      <c r="BJ43" s="21">
        <v>8119</v>
      </c>
      <c r="BK43" s="21">
        <v>7553</v>
      </c>
      <c r="BL43" s="2">
        <f t="shared" si="19"/>
        <v>15672</v>
      </c>
      <c r="BM43" s="15">
        <f t="shared" si="20"/>
        <v>76.83</v>
      </c>
      <c r="BN43" s="15">
        <f t="shared" si="21"/>
        <v>86.67</v>
      </c>
      <c r="BO43" s="15">
        <f t="shared" si="22"/>
        <v>81.44</v>
      </c>
      <c r="BP43" s="15">
        <f t="shared" si="23"/>
        <v>69.98</v>
      </c>
      <c r="BQ43" s="15">
        <f t="shared" si="24"/>
        <v>79.180000000000007</v>
      </c>
      <c r="BR43" s="15">
        <f t="shared" si="25"/>
        <v>74.27</v>
      </c>
      <c r="BS43" s="15">
        <f t="shared" si="26"/>
        <v>71.28</v>
      </c>
      <c r="BT43" s="15">
        <f t="shared" si="27"/>
        <v>79.97</v>
      </c>
      <c r="BU43" s="15">
        <f t="shared" si="28"/>
        <v>75.22</v>
      </c>
      <c r="BV43" s="23">
        <v>113777</v>
      </c>
      <c r="BW43" s="23">
        <v>26244</v>
      </c>
      <c r="BX43" s="2">
        <f t="shared" si="29"/>
        <v>140021</v>
      </c>
      <c r="BY43" s="23">
        <v>20183</v>
      </c>
      <c r="BZ43" s="23">
        <v>4238</v>
      </c>
      <c r="CA43" s="2">
        <f t="shared" si="76"/>
        <v>24421</v>
      </c>
      <c r="CB43" s="23">
        <v>1207</v>
      </c>
      <c r="CC43" s="23">
        <v>259</v>
      </c>
      <c r="CD43" s="2">
        <f t="shared" si="31"/>
        <v>1466</v>
      </c>
      <c r="CE43" s="23">
        <v>86223</v>
      </c>
      <c r="CF43" s="23">
        <v>20409</v>
      </c>
      <c r="CG43" s="2">
        <f t="shared" si="77"/>
        <v>106632</v>
      </c>
      <c r="CH43" s="23">
        <v>12768</v>
      </c>
      <c r="CI43" s="23">
        <v>2781</v>
      </c>
      <c r="CJ43" s="2">
        <f t="shared" si="33"/>
        <v>15549</v>
      </c>
      <c r="CK43" s="23">
        <v>808</v>
      </c>
      <c r="CL43" s="23">
        <v>177</v>
      </c>
      <c r="CM43" s="2">
        <f t="shared" si="34"/>
        <v>985</v>
      </c>
      <c r="CN43" s="23">
        <v>25</v>
      </c>
      <c r="CO43" s="23">
        <v>3</v>
      </c>
      <c r="CP43" s="2">
        <f t="shared" si="35"/>
        <v>28</v>
      </c>
      <c r="CQ43" s="23">
        <v>5</v>
      </c>
      <c r="CR43" s="23">
        <v>1</v>
      </c>
      <c r="CS43" s="2">
        <f t="shared" si="36"/>
        <v>6</v>
      </c>
      <c r="CT43" s="23">
        <v>6</v>
      </c>
      <c r="CU43" s="23">
        <v>1</v>
      </c>
      <c r="CV43" s="2">
        <f t="shared" si="37"/>
        <v>7</v>
      </c>
      <c r="CW43" s="23">
        <v>86248</v>
      </c>
      <c r="CX43" s="23">
        <v>20412</v>
      </c>
      <c r="CY43" s="2">
        <f t="shared" si="39"/>
        <v>106660</v>
      </c>
      <c r="CZ43" s="23">
        <v>12773</v>
      </c>
      <c r="DA43" s="23">
        <v>2782</v>
      </c>
      <c r="DB43" s="2">
        <f t="shared" si="41"/>
        <v>15555</v>
      </c>
      <c r="DC43" s="23">
        <v>809</v>
      </c>
      <c r="DD43" s="23">
        <v>177</v>
      </c>
      <c r="DE43" s="2">
        <f t="shared" si="43"/>
        <v>986</v>
      </c>
      <c r="DF43" s="15">
        <f t="shared" si="44"/>
        <v>75.8</v>
      </c>
      <c r="DG43" s="15">
        <f t="shared" si="45"/>
        <v>77.78</v>
      </c>
      <c r="DH43" s="15">
        <f t="shared" si="46"/>
        <v>76.17</v>
      </c>
      <c r="DI43" s="15">
        <f t="shared" si="47"/>
        <v>63.29</v>
      </c>
      <c r="DJ43" s="15">
        <f t="shared" si="48"/>
        <v>65.64</v>
      </c>
      <c r="DK43" s="15">
        <f t="shared" si="49"/>
        <v>63.7</v>
      </c>
      <c r="DL43" s="15">
        <f t="shared" si="50"/>
        <v>67.03</v>
      </c>
      <c r="DM43" s="15">
        <f t="shared" si="51"/>
        <v>68.34</v>
      </c>
      <c r="DN43" s="15">
        <f t="shared" si="52"/>
        <v>67.260000000000005</v>
      </c>
      <c r="DO43" s="5">
        <v>823632</v>
      </c>
      <c r="DP43" s="5">
        <v>887607</v>
      </c>
      <c r="DQ43" s="2">
        <f t="shared" si="78"/>
        <v>1711239</v>
      </c>
      <c r="DR43" s="5">
        <v>154120</v>
      </c>
      <c r="DS43" s="5">
        <v>164020</v>
      </c>
      <c r="DT43" s="2">
        <f t="shared" si="79"/>
        <v>318140</v>
      </c>
      <c r="DU43" s="5">
        <v>6079</v>
      </c>
      <c r="DV43" s="5">
        <v>5450</v>
      </c>
      <c r="DW43" s="2">
        <f t="shared" si="80"/>
        <v>11529</v>
      </c>
      <c r="DX43" s="5">
        <v>430745</v>
      </c>
      <c r="DY43" s="5">
        <v>292531</v>
      </c>
      <c r="DZ43" s="2">
        <f t="shared" si="81"/>
        <v>723276</v>
      </c>
      <c r="EA43" s="5">
        <v>100746</v>
      </c>
      <c r="EB43" s="5">
        <v>77703</v>
      </c>
      <c r="EC43" s="2">
        <f t="shared" si="82"/>
        <v>178449</v>
      </c>
      <c r="ED43" s="5">
        <v>2849</v>
      </c>
      <c r="EE43" s="5">
        <v>2280</v>
      </c>
      <c r="EF43" s="2">
        <f t="shared" si="83"/>
        <v>5129</v>
      </c>
      <c r="EG43" s="4">
        <f t="shared" si="59"/>
        <v>-140021</v>
      </c>
      <c r="EH43" s="4">
        <f t="shared" si="60"/>
        <v>-106905</v>
      </c>
      <c r="EI43" s="4">
        <f t="shared" si="84"/>
        <v>0</v>
      </c>
      <c r="EJ43" s="4">
        <f t="shared" si="62"/>
        <v>0</v>
      </c>
      <c r="EK43" s="4">
        <f t="shared" si="63"/>
        <v>0</v>
      </c>
      <c r="EL43"/>
    </row>
    <row r="44" spans="1:142" ht="28.5" x14ac:dyDescent="0.25">
      <c r="A44" s="50">
        <v>16</v>
      </c>
      <c r="B44" s="35" t="s">
        <v>78</v>
      </c>
      <c r="C44" s="27" t="s">
        <v>74</v>
      </c>
      <c r="D44" s="63">
        <v>42812</v>
      </c>
      <c r="E44" s="63">
        <v>42835</v>
      </c>
      <c r="F44" s="62" t="s">
        <v>101</v>
      </c>
      <c r="G44" s="62" t="s">
        <v>101</v>
      </c>
      <c r="H44" s="6">
        <v>0</v>
      </c>
      <c r="I44" s="6">
        <v>0</v>
      </c>
      <c r="J44" s="6">
        <v>0</v>
      </c>
      <c r="K44" s="2">
        <f t="shared" si="0"/>
        <v>0</v>
      </c>
      <c r="L44" s="6">
        <v>0</v>
      </c>
      <c r="M44" s="6">
        <v>0</v>
      </c>
      <c r="N44" s="6">
        <v>0</v>
      </c>
      <c r="O44" s="2">
        <f t="shared" si="1"/>
        <v>0</v>
      </c>
      <c r="P44" s="6">
        <v>0</v>
      </c>
      <c r="Q44" s="6">
        <v>0</v>
      </c>
      <c r="R44" s="6">
        <v>0</v>
      </c>
      <c r="S44" s="2">
        <f t="shared" si="2"/>
        <v>0</v>
      </c>
      <c r="T44" s="15" t="e">
        <f t="shared" si="3"/>
        <v>#DIV/0!</v>
      </c>
      <c r="U44" s="6">
        <v>262</v>
      </c>
      <c r="V44" s="6">
        <v>390</v>
      </c>
      <c r="W44" s="6">
        <v>710</v>
      </c>
      <c r="X44" s="6">
        <v>649</v>
      </c>
      <c r="Y44" s="6">
        <v>388</v>
      </c>
      <c r="Z44" s="6">
        <v>235</v>
      </c>
      <c r="AA44" s="6">
        <v>636</v>
      </c>
      <c r="AB44" s="29">
        <f t="shared" si="4"/>
        <v>-3270</v>
      </c>
      <c r="AC44" s="30">
        <v>71473</v>
      </c>
      <c r="AD44" s="30">
        <v>73962</v>
      </c>
      <c r="AE44" s="2">
        <f t="shared" si="5"/>
        <v>145435</v>
      </c>
      <c r="AF44" s="31">
        <v>20476</v>
      </c>
      <c r="AG44" s="31">
        <v>21219</v>
      </c>
      <c r="AH44" s="2">
        <f t="shared" si="6"/>
        <v>41695</v>
      </c>
      <c r="AI44" s="31">
        <v>2455</v>
      </c>
      <c r="AJ44" s="31">
        <v>2676</v>
      </c>
      <c r="AK44" s="2">
        <f t="shared" si="7"/>
        <v>5131</v>
      </c>
      <c r="AL44" s="30">
        <v>50328</v>
      </c>
      <c r="AM44" s="30">
        <v>58810</v>
      </c>
      <c r="AN44" s="2">
        <f t="shared" si="8"/>
        <v>109138</v>
      </c>
      <c r="AO44" s="31">
        <v>12974</v>
      </c>
      <c r="AP44" s="31">
        <v>15369</v>
      </c>
      <c r="AQ44" s="2">
        <f t="shared" si="9"/>
        <v>28343</v>
      </c>
      <c r="AR44" s="31">
        <v>1711</v>
      </c>
      <c r="AS44" s="31">
        <v>2124</v>
      </c>
      <c r="AT44" s="2">
        <f t="shared" si="10"/>
        <v>3835</v>
      </c>
      <c r="AU44" s="31">
        <v>0</v>
      </c>
      <c r="AV44" s="31">
        <v>0</v>
      </c>
      <c r="AW44" s="2">
        <f t="shared" si="11"/>
        <v>0</v>
      </c>
      <c r="AX44" s="33">
        <v>0</v>
      </c>
      <c r="AY44" s="33">
        <v>0</v>
      </c>
      <c r="AZ44" s="2">
        <f t="shared" si="12"/>
        <v>0</v>
      </c>
      <c r="BA44" s="33">
        <v>0</v>
      </c>
      <c r="BB44" s="33">
        <v>0</v>
      </c>
      <c r="BC44" s="2">
        <f t="shared" si="13"/>
        <v>0</v>
      </c>
      <c r="BD44" s="28">
        <f t="shared" ref="BD44:BE47" si="91">AL44+AU44</f>
        <v>50328</v>
      </c>
      <c r="BE44" s="28">
        <f t="shared" si="91"/>
        <v>58810</v>
      </c>
      <c r="BF44" s="2">
        <f t="shared" si="15"/>
        <v>109138</v>
      </c>
      <c r="BG44" s="28">
        <f t="shared" ref="BG44:BH47" si="92">AO44+AX44</f>
        <v>12974</v>
      </c>
      <c r="BH44" s="28">
        <f t="shared" si="92"/>
        <v>15369</v>
      </c>
      <c r="BI44" s="2">
        <f t="shared" si="17"/>
        <v>28343</v>
      </c>
      <c r="BJ44" s="28">
        <f t="shared" ref="BJ44:BK47" si="93">AR44+BA44</f>
        <v>1711</v>
      </c>
      <c r="BK44" s="28">
        <f t="shared" si="93"/>
        <v>2124</v>
      </c>
      <c r="BL44" s="2">
        <f t="shared" si="19"/>
        <v>3835</v>
      </c>
      <c r="BM44" s="28">
        <f t="shared" si="20"/>
        <v>70.42</v>
      </c>
      <c r="BN44" s="28">
        <f t="shared" si="21"/>
        <v>79.510000000000005</v>
      </c>
      <c r="BO44" s="28">
        <f t="shared" si="22"/>
        <v>75.040000000000006</v>
      </c>
      <c r="BP44" s="28">
        <f t="shared" si="23"/>
        <v>63.36</v>
      </c>
      <c r="BQ44" s="28">
        <f t="shared" si="24"/>
        <v>72.430000000000007</v>
      </c>
      <c r="BR44" s="28">
        <f t="shared" si="25"/>
        <v>67.98</v>
      </c>
      <c r="BS44" s="28">
        <f t="shared" si="26"/>
        <v>69.69</v>
      </c>
      <c r="BT44" s="28">
        <f t="shared" si="27"/>
        <v>79.37</v>
      </c>
      <c r="BU44" s="28">
        <f t="shared" si="28"/>
        <v>74.739999999999995</v>
      </c>
      <c r="BV44" s="30">
        <v>3141</v>
      </c>
      <c r="BW44" s="30">
        <v>1997</v>
      </c>
      <c r="BX44" s="2">
        <f t="shared" si="29"/>
        <v>5138</v>
      </c>
      <c r="BY44" s="31">
        <v>1207</v>
      </c>
      <c r="BZ44" s="31">
        <v>782</v>
      </c>
      <c r="CA44" s="2">
        <f t="shared" si="76"/>
        <v>1989</v>
      </c>
      <c r="CB44" s="31">
        <v>85</v>
      </c>
      <c r="CC44" s="31">
        <v>71</v>
      </c>
      <c r="CD44" s="2">
        <f t="shared" si="31"/>
        <v>156</v>
      </c>
      <c r="CE44" s="30">
        <v>977</v>
      </c>
      <c r="CF44" s="30">
        <v>826</v>
      </c>
      <c r="CG44" s="2">
        <f t="shared" si="77"/>
        <v>1803</v>
      </c>
      <c r="CH44" s="31">
        <v>351</v>
      </c>
      <c r="CI44" s="31">
        <v>279</v>
      </c>
      <c r="CJ44" s="2">
        <f t="shared" si="33"/>
        <v>630</v>
      </c>
      <c r="CK44" s="31">
        <v>26</v>
      </c>
      <c r="CL44" s="31">
        <v>33</v>
      </c>
      <c r="CM44" s="2">
        <f t="shared" si="34"/>
        <v>59</v>
      </c>
      <c r="CN44" s="31">
        <v>0</v>
      </c>
      <c r="CO44" s="31">
        <v>0</v>
      </c>
      <c r="CP44" s="2">
        <f t="shared" si="35"/>
        <v>0</v>
      </c>
      <c r="CQ44" s="31">
        <v>0</v>
      </c>
      <c r="CR44" s="31">
        <v>0</v>
      </c>
      <c r="CS44" s="2">
        <f t="shared" si="36"/>
        <v>0</v>
      </c>
      <c r="CT44" s="33">
        <v>0</v>
      </c>
      <c r="CU44" s="33">
        <v>0</v>
      </c>
      <c r="CV44" s="2">
        <f t="shared" si="37"/>
        <v>0</v>
      </c>
      <c r="CW44" s="28">
        <f t="shared" ref="CW44:CX47" si="94">CE44+CN44</f>
        <v>977</v>
      </c>
      <c r="CX44" s="28">
        <f t="shared" si="94"/>
        <v>826</v>
      </c>
      <c r="CY44" s="2">
        <f t="shared" si="39"/>
        <v>1803</v>
      </c>
      <c r="CZ44" s="28">
        <f t="shared" ref="CZ44:DA47" si="95">CH44+CQ44</f>
        <v>351</v>
      </c>
      <c r="DA44" s="28">
        <f t="shared" si="95"/>
        <v>279</v>
      </c>
      <c r="DB44" s="2">
        <f t="shared" si="41"/>
        <v>630</v>
      </c>
      <c r="DC44" s="28">
        <f t="shared" ref="DC44:DD47" si="96">CK44+CT44</f>
        <v>26</v>
      </c>
      <c r="DD44" s="28">
        <f t="shared" si="96"/>
        <v>33</v>
      </c>
      <c r="DE44" s="2">
        <f t="shared" si="43"/>
        <v>59</v>
      </c>
      <c r="DF44" s="28">
        <f t="shared" si="44"/>
        <v>31.1</v>
      </c>
      <c r="DG44" s="28">
        <f t="shared" si="45"/>
        <v>41.36</v>
      </c>
      <c r="DH44" s="28">
        <f t="shared" si="46"/>
        <v>35.090000000000003</v>
      </c>
      <c r="DI44" s="28">
        <f t="shared" si="47"/>
        <v>29.08</v>
      </c>
      <c r="DJ44" s="28">
        <f t="shared" si="48"/>
        <v>35.68</v>
      </c>
      <c r="DK44" s="28">
        <f t="shared" si="49"/>
        <v>31.67</v>
      </c>
      <c r="DL44" s="28">
        <f t="shared" si="50"/>
        <v>30.59</v>
      </c>
      <c r="DM44" s="28">
        <f t="shared" si="51"/>
        <v>46.48</v>
      </c>
      <c r="DN44" s="28">
        <f t="shared" si="52"/>
        <v>37.82</v>
      </c>
      <c r="DO44" s="32">
        <v>12783</v>
      </c>
      <c r="DP44" s="32">
        <v>18737</v>
      </c>
      <c r="DQ44" s="2">
        <f t="shared" si="78"/>
        <v>31520</v>
      </c>
      <c r="DR44" s="32">
        <v>2194</v>
      </c>
      <c r="DS44" s="32">
        <v>3389</v>
      </c>
      <c r="DT44" s="2">
        <f t="shared" si="79"/>
        <v>5583</v>
      </c>
      <c r="DU44" s="32">
        <v>454</v>
      </c>
      <c r="DV44" s="32">
        <v>632</v>
      </c>
      <c r="DW44" s="2">
        <f t="shared" si="80"/>
        <v>1086</v>
      </c>
      <c r="DX44" s="32">
        <v>38522</v>
      </c>
      <c r="DY44" s="32">
        <v>40899</v>
      </c>
      <c r="DZ44" s="2">
        <f t="shared" si="81"/>
        <v>79421</v>
      </c>
      <c r="EA44" s="32">
        <v>11131</v>
      </c>
      <c r="EB44" s="32">
        <v>12259</v>
      </c>
      <c r="EC44" s="2">
        <f t="shared" si="82"/>
        <v>23390</v>
      </c>
      <c r="ED44" s="32">
        <v>1283</v>
      </c>
      <c r="EE44" s="32">
        <v>1525</v>
      </c>
      <c r="EF44" s="2">
        <f t="shared" si="83"/>
        <v>2808</v>
      </c>
      <c r="EG44" s="4">
        <f t="shared" si="59"/>
        <v>-150573</v>
      </c>
      <c r="EH44" s="4">
        <f t="shared" si="60"/>
        <v>-110941</v>
      </c>
      <c r="EI44" s="4">
        <f t="shared" si="84"/>
        <v>0</v>
      </c>
      <c r="EJ44" s="4">
        <f t="shared" si="62"/>
        <v>0</v>
      </c>
      <c r="EK44" s="4">
        <f t="shared" si="63"/>
        <v>0</v>
      </c>
      <c r="EL44" s="34"/>
    </row>
    <row r="45" spans="1:142" ht="28.5" x14ac:dyDescent="0.25">
      <c r="A45" s="76">
        <v>15</v>
      </c>
      <c r="B45" s="35" t="s">
        <v>76</v>
      </c>
      <c r="C45" s="27" t="s">
        <v>77</v>
      </c>
      <c r="D45" s="63">
        <v>42461</v>
      </c>
      <c r="E45" s="63">
        <v>42896</v>
      </c>
      <c r="F45" s="83" t="s">
        <v>101</v>
      </c>
      <c r="G45" s="62" t="s">
        <v>101</v>
      </c>
      <c r="H45" s="6">
        <v>3</v>
      </c>
      <c r="I45" s="6">
        <v>73</v>
      </c>
      <c r="J45" s="6">
        <v>11</v>
      </c>
      <c r="K45" s="2">
        <f t="shared" si="0"/>
        <v>87</v>
      </c>
      <c r="L45" s="6">
        <v>9</v>
      </c>
      <c r="M45" s="6">
        <v>740</v>
      </c>
      <c r="N45" s="6">
        <v>103</v>
      </c>
      <c r="O45" s="2">
        <f t="shared" si="1"/>
        <v>852</v>
      </c>
      <c r="P45" s="6">
        <v>0</v>
      </c>
      <c r="Q45" s="6">
        <v>0</v>
      </c>
      <c r="R45" s="6">
        <v>0</v>
      </c>
      <c r="S45" s="2">
        <f t="shared" si="2"/>
        <v>0</v>
      </c>
      <c r="T45" s="15">
        <f t="shared" si="3"/>
        <v>0</v>
      </c>
      <c r="U45" s="6">
        <v>34</v>
      </c>
      <c r="V45" s="6">
        <v>10</v>
      </c>
      <c r="W45" s="6">
        <v>17</v>
      </c>
      <c r="X45" s="6">
        <v>9</v>
      </c>
      <c r="Y45" s="6">
        <v>7</v>
      </c>
      <c r="Z45" s="6">
        <v>5</v>
      </c>
      <c r="AA45" s="6">
        <v>5</v>
      </c>
      <c r="AB45" s="29">
        <f t="shared" si="4"/>
        <v>0</v>
      </c>
      <c r="AC45" s="30">
        <v>752</v>
      </c>
      <c r="AD45" s="30">
        <v>56</v>
      </c>
      <c r="AE45" s="2">
        <f t="shared" si="5"/>
        <v>808</v>
      </c>
      <c r="AF45" s="31">
        <v>20</v>
      </c>
      <c r="AG45" s="31">
        <v>7</v>
      </c>
      <c r="AH45" s="2">
        <f t="shared" si="6"/>
        <v>27</v>
      </c>
      <c r="AI45" s="31">
        <v>10</v>
      </c>
      <c r="AJ45" s="31">
        <v>2</v>
      </c>
      <c r="AK45" s="2">
        <f t="shared" si="7"/>
        <v>12</v>
      </c>
      <c r="AL45" s="30">
        <v>667</v>
      </c>
      <c r="AM45" s="30">
        <v>49</v>
      </c>
      <c r="AN45" s="2">
        <f t="shared" si="8"/>
        <v>716</v>
      </c>
      <c r="AO45" s="31">
        <v>14</v>
      </c>
      <c r="AP45" s="31">
        <v>5</v>
      </c>
      <c r="AQ45" s="2">
        <f t="shared" si="9"/>
        <v>19</v>
      </c>
      <c r="AR45" s="31">
        <v>9</v>
      </c>
      <c r="AS45" s="31">
        <v>2</v>
      </c>
      <c r="AT45" s="2">
        <f t="shared" si="10"/>
        <v>11</v>
      </c>
      <c r="AU45" s="31">
        <v>0</v>
      </c>
      <c r="AV45" s="31">
        <v>0</v>
      </c>
      <c r="AW45" s="2">
        <f t="shared" si="11"/>
        <v>0</v>
      </c>
      <c r="AX45" s="33">
        <v>0</v>
      </c>
      <c r="AY45" s="33">
        <v>0</v>
      </c>
      <c r="AZ45" s="2">
        <f t="shared" si="12"/>
        <v>0</v>
      </c>
      <c r="BA45" s="33">
        <v>0</v>
      </c>
      <c r="BB45" s="33">
        <v>0</v>
      </c>
      <c r="BC45" s="2">
        <f t="shared" si="13"/>
        <v>0</v>
      </c>
      <c r="BD45" s="28">
        <f t="shared" si="91"/>
        <v>667</v>
      </c>
      <c r="BE45" s="28">
        <f t="shared" si="91"/>
        <v>49</v>
      </c>
      <c r="BF45" s="2">
        <f t="shared" si="15"/>
        <v>716</v>
      </c>
      <c r="BG45" s="28">
        <f t="shared" si="92"/>
        <v>14</v>
      </c>
      <c r="BH45" s="28">
        <f t="shared" si="92"/>
        <v>5</v>
      </c>
      <c r="BI45" s="2">
        <f t="shared" si="17"/>
        <v>19</v>
      </c>
      <c r="BJ45" s="28">
        <f t="shared" si="93"/>
        <v>9</v>
      </c>
      <c r="BK45" s="28">
        <f t="shared" si="93"/>
        <v>2</v>
      </c>
      <c r="BL45" s="2">
        <f t="shared" si="19"/>
        <v>11</v>
      </c>
      <c r="BM45" s="28">
        <f t="shared" si="20"/>
        <v>88.7</v>
      </c>
      <c r="BN45" s="28">
        <f t="shared" si="21"/>
        <v>87.5</v>
      </c>
      <c r="BO45" s="28">
        <f t="shared" si="22"/>
        <v>88.61</v>
      </c>
      <c r="BP45" s="28">
        <f t="shared" si="23"/>
        <v>70</v>
      </c>
      <c r="BQ45" s="28">
        <f t="shared" si="24"/>
        <v>71.430000000000007</v>
      </c>
      <c r="BR45" s="28">
        <f t="shared" si="25"/>
        <v>70.37</v>
      </c>
      <c r="BS45" s="28">
        <f t="shared" si="26"/>
        <v>90</v>
      </c>
      <c r="BT45" s="28">
        <f t="shared" si="27"/>
        <v>100</v>
      </c>
      <c r="BU45" s="28">
        <f t="shared" si="28"/>
        <v>91.67</v>
      </c>
      <c r="BV45" s="30">
        <v>42</v>
      </c>
      <c r="BW45" s="30">
        <v>2</v>
      </c>
      <c r="BX45" s="2">
        <f t="shared" si="29"/>
        <v>44</v>
      </c>
      <c r="BY45" s="31">
        <v>0</v>
      </c>
      <c r="BZ45" s="31">
        <v>0</v>
      </c>
      <c r="CA45" s="2">
        <f t="shared" si="76"/>
        <v>0</v>
      </c>
      <c r="CB45" s="31">
        <v>0</v>
      </c>
      <c r="CC45" s="31">
        <v>0</v>
      </c>
      <c r="CD45" s="2">
        <f t="shared" si="31"/>
        <v>0</v>
      </c>
      <c r="CE45" s="30">
        <v>30</v>
      </c>
      <c r="CF45" s="30">
        <v>2</v>
      </c>
      <c r="CG45" s="2">
        <f t="shared" si="77"/>
        <v>32</v>
      </c>
      <c r="CH45" s="31">
        <v>0</v>
      </c>
      <c r="CI45" s="31">
        <v>0</v>
      </c>
      <c r="CJ45" s="2">
        <f t="shared" si="33"/>
        <v>0</v>
      </c>
      <c r="CK45" s="31">
        <v>0</v>
      </c>
      <c r="CL45" s="31">
        <v>0</v>
      </c>
      <c r="CM45" s="2">
        <f t="shared" si="34"/>
        <v>0</v>
      </c>
      <c r="CN45" s="31">
        <v>0</v>
      </c>
      <c r="CO45" s="31">
        <v>0</v>
      </c>
      <c r="CP45" s="2">
        <f t="shared" si="35"/>
        <v>0</v>
      </c>
      <c r="CQ45" s="31">
        <v>0</v>
      </c>
      <c r="CR45" s="31">
        <v>0</v>
      </c>
      <c r="CS45" s="2">
        <f t="shared" si="36"/>
        <v>0</v>
      </c>
      <c r="CT45" s="31">
        <v>0</v>
      </c>
      <c r="CU45" s="31">
        <v>0</v>
      </c>
      <c r="CV45" s="2">
        <f t="shared" si="37"/>
        <v>0</v>
      </c>
      <c r="CW45" s="28">
        <f t="shared" si="94"/>
        <v>30</v>
      </c>
      <c r="CX45" s="28">
        <f t="shared" si="94"/>
        <v>2</v>
      </c>
      <c r="CY45" s="2">
        <f t="shared" si="39"/>
        <v>32</v>
      </c>
      <c r="CZ45" s="28">
        <f t="shared" si="95"/>
        <v>0</v>
      </c>
      <c r="DA45" s="28">
        <f t="shared" si="95"/>
        <v>0</v>
      </c>
      <c r="DB45" s="2">
        <f t="shared" si="41"/>
        <v>0</v>
      </c>
      <c r="DC45" s="28">
        <f t="shared" si="96"/>
        <v>0</v>
      </c>
      <c r="DD45" s="28">
        <f t="shared" si="96"/>
        <v>0</v>
      </c>
      <c r="DE45" s="2">
        <f t="shared" si="43"/>
        <v>0</v>
      </c>
      <c r="DF45" s="28">
        <f t="shared" si="44"/>
        <v>71.430000000000007</v>
      </c>
      <c r="DG45" s="28">
        <f t="shared" si="45"/>
        <v>100</v>
      </c>
      <c r="DH45" s="28">
        <f t="shared" si="46"/>
        <v>72.73</v>
      </c>
      <c r="DI45" s="28" t="e">
        <f t="shared" si="47"/>
        <v>#DIV/0!</v>
      </c>
      <c r="DJ45" s="28" t="e">
        <f t="shared" si="48"/>
        <v>#DIV/0!</v>
      </c>
      <c r="DK45" s="28" t="e">
        <f t="shared" si="49"/>
        <v>#DIV/0!</v>
      </c>
      <c r="DL45" s="28" t="e">
        <f t="shared" si="50"/>
        <v>#DIV/0!</v>
      </c>
      <c r="DM45" s="28" t="e">
        <f t="shared" si="51"/>
        <v>#DIV/0!</v>
      </c>
      <c r="DN45" s="28" t="e">
        <f t="shared" si="52"/>
        <v>#DIV/0!</v>
      </c>
      <c r="DO45" s="32">
        <v>145</v>
      </c>
      <c r="DP45" s="32">
        <v>13</v>
      </c>
      <c r="DQ45" s="2">
        <f t="shared" si="78"/>
        <v>158</v>
      </c>
      <c r="DR45" s="32">
        <v>0</v>
      </c>
      <c r="DS45" s="32">
        <v>0</v>
      </c>
      <c r="DT45" s="2">
        <f t="shared" si="79"/>
        <v>0</v>
      </c>
      <c r="DU45" s="32">
        <v>0</v>
      </c>
      <c r="DV45" s="32">
        <v>0</v>
      </c>
      <c r="DW45" s="2">
        <f t="shared" si="80"/>
        <v>0</v>
      </c>
      <c r="DX45" s="32">
        <v>649</v>
      </c>
      <c r="DY45" s="32">
        <v>45</v>
      </c>
      <c r="DZ45" s="2">
        <f t="shared" si="81"/>
        <v>694</v>
      </c>
      <c r="EA45" s="32">
        <v>20</v>
      </c>
      <c r="EB45" s="32">
        <v>7</v>
      </c>
      <c r="EC45" s="2">
        <f t="shared" si="82"/>
        <v>27</v>
      </c>
      <c r="ED45" s="32">
        <v>10</v>
      </c>
      <c r="EE45" s="32">
        <v>2</v>
      </c>
      <c r="EF45" s="2">
        <f t="shared" si="83"/>
        <v>12</v>
      </c>
      <c r="EG45" s="4">
        <f t="shared" si="59"/>
        <v>0</v>
      </c>
      <c r="EH45" s="4">
        <f t="shared" si="60"/>
        <v>-748</v>
      </c>
      <c r="EI45" s="4">
        <f t="shared" si="84"/>
        <v>104</v>
      </c>
      <c r="EJ45" s="4">
        <f t="shared" si="62"/>
        <v>8</v>
      </c>
      <c r="EK45" s="4">
        <f t="shared" si="63"/>
        <v>1</v>
      </c>
      <c r="EL45" s="34"/>
    </row>
    <row r="46" spans="1:142" ht="30" x14ac:dyDescent="0.25">
      <c r="A46" s="51">
        <v>32</v>
      </c>
      <c r="B46" s="48" t="s">
        <v>111</v>
      </c>
      <c r="C46" s="46" t="s">
        <v>112</v>
      </c>
      <c r="D46" s="64">
        <v>42772</v>
      </c>
      <c r="E46" s="64">
        <v>42784</v>
      </c>
      <c r="F46" s="64">
        <v>42772</v>
      </c>
      <c r="G46" s="64">
        <v>42784</v>
      </c>
      <c r="H46" s="46">
        <v>0</v>
      </c>
      <c r="I46" s="46">
        <v>404</v>
      </c>
      <c r="J46" s="46">
        <v>4</v>
      </c>
      <c r="K46" s="46">
        <f t="shared" si="0"/>
        <v>408</v>
      </c>
      <c r="L46" s="46">
        <v>0</v>
      </c>
      <c r="M46" s="46">
        <v>52058</v>
      </c>
      <c r="N46" s="46">
        <v>57</v>
      </c>
      <c r="O46" s="46">
        <f t="shared" si="1"/>
        <v>52115</v>
      </c>
      <c r="P46" s="46">
        <v>0</v>
      </c>
      <c r="Q46" s="46">
        <v>40085</v>
      </c>
      <c r="R46" s="46">
        <v>31</v>
      </c>
      <c r="S46" s="46">
        <f t="shared" si="2"/>
        <v>40116</v>
      </c>
      <c r="T46" s="46">
        <f t="shared" si="3"/>
        <v>76.98</v>
      </c>
      <c r="U46" s="46">
        <v>8</v>
      </c>
      <c r="V46" s="46">
        <v>100</v>
      </c>
      <c r="W46" s="46">
        <v>103</v>
      </c>
      <c r="X46" s="46">
        <v>79</v>
      </c>
      <c r="Y46" s="46">
        <v>59</v>
      </c>
      <c r="Z46" s="46">
        <v>32</v>
      </c>
      <c r="AA46" s="46">
        <v>27</v>
      </c>
      <c r="AB46" s="47">
        <f t="shared" si="4"/>
        <v>0</v>
      </c>
      <c r="AC46" s="46">
        <v>14322</v>
      </c>
      <c r="AD46" s="46">
        <v>35489</v>
      </c>
      <c r="AE46" s="46">
        <f t="shared" si="5"/>
        <v>49811</v>
      </c>
      <c r="AF46" s="46">
        <v>308</v>
      </c>
      <c r="AG46" s="46">
        <v>602</v>
      </c>
      <c r="AH46" s="46">
        <f t="shared" si="6"/>
        <v>910</v>
      </c>
      <c r="AI46" s="46">
        <v>150</v>
      </c>
      <c r="AJ46" s="46">
        <v>183</v>
      </c>
      <c r="AK46" s="46">
        <f t="shared" si="7"/>
        <v>333</v>
      </c>
      <c r="AL46" s="46">
        <v>11937</v>
      </c>
      <c r="AM46" s="46">
        <v>26315</v>
      </c>
      <c r="AN46" s="46">
        <f t="shared" si="8"/>
        <v>38252</v>
      </c>
      <c r="AO46" s="46">
        <v>244</v>
      </c>
      <c r="AP46" s="46">
        <v>394</v>
      </c>
      <c r="AQ46" s="46">
        <f t="shared" si="9"/>
        <v>638</v>
      </c>
      <c r="AR46" s="46">
        <v>114</v>
      </c>
      <c r="AS46" s="46">
        <v>98</v>
      </c>
      <c r="AT46" s="46">
        <f t="shared" si="10"/>
        <v>212</v>
      </c>
      <c r="AU46" s="46">
        <v>0</v>
      </c>
      <c r="AV46" s="46">
        <v>0</v>
      </c>
      <c r="AW46" s="46">
        <f t="shared" si="11"/>
        <v>0</v>
      </c>
      <c r="AX46" s="46">
        <v>0</v>
      </c>
      <c r="AY46" s="46">
        <v>0</v>
      </c>
      <c r="AZ46" s="46">
        <f t="shared" si="12"/>
        <v>0</v>
      </c>
      <c r="BA46" s="46">
        <v>0</v>
      </c>
      <c r="BB46" s="46">
        <v>0</v>
      </c>
      <c r="BC46" s="46">
        <f t="shared" si="13"/>
        <v>0</v>
      </c>
      <c r="BD46" s="46">
        <f t="shared" si="91"/>
        <v>11937</v>
      </c>
      <c r="BE46" s="46">
        <f t="shared" si="91"/>
        <v>26315</v>
      </c>
      <c r="BF46" s="46">
        <f t="shared" si="15"/>
        <v>38252</v>
      </c>
      <c r="BG46" s="46">
        <f t="shared" si="92"/>
        <v>244</v>
      </c>
      <c r="BH46" s="46">
        <f t="shared" si="92"/>
        <v>394</v>
      </c>
      <c r="BI46" s="46">
        <f t="shared" si="17"/>
        <v>638</v>
      </c>
      <c r="BJ46" s="46">
        <f t="shared" si="93"/>
        <v>114</v>
      </c>
      <c r="BK46" s="46">
        <f t="shared" si="93"/>
        <v>98</v>
      </c>
      <c r="BL46" s="46">
        <f t="shared" si="19"/>
        <v>212</v>
      </c>
      <c r="BM46" s="46">
        <f t="shared" si="20"/>
        <v>83.35</v>
      </c>
      <c r="BN46" s="46">
        <f t="shared" si="21"/>
        <v>74.150000000000006</v>
      </c>
      <c r="BO46" s="46">
        <f t="shared" si="22"/>
        <v>76.790000000000006</v>
      </c>
      <c r="BP46" s="46">
        <f t="shared" si="23"/>
        <v>79.22</v>
      </c>
      <c r="BQ46" s="46">
        <f t="shared" si="24"/>
        <v>65.45</v>
      </c>
      <c r="BR46" s="46">
        <f t="shared" si="25"/>
        <v>70.11</v>
      </c>
      <c r="BS46" s="46">
        <f t="shared" si="26"/>
        <v>76</v>
      </c>
      <c r="BT46" s="46">
        <f t="shared" si="27"/>
        <v>53.55</v>
      </c>
      <c r="BU46" s="46">
        <f t="shared" si="28"/>
        <v>63.66</v>
      </c>
      <c r="BV46" s="46">
        <v>1517</v>
      </c>
      <c r="BW46" s="46">
        <v>787</v>
      </c>
      <c r="BX46" s="46">
        <f t="shared" si="29"/>
        <v>2304</v>
      </c>
      <c r="BY46" s="46">
        <v>104</v>
      </c>
      <c r="BZ46" s="46">
        <v>36</v>
      </c>
      <c r="CA46" s="46">
        <f t="shared" si="76"/>
        <v>140</v>
      </c>
      <c r="CB46" s="46">
        <v>39</v>
      </c>
      <c r="CC46" s="46">
        <v>26</v>
      </c>
      <c r="CD46" s="46">
        <f t="shared" si="31"/>
        <v>65</v>
      </c>
      <c r="CE46" s="46">
        <v>1212</v>
      </c>
      <c r="CF46" s="46">
        <v>652</v>
      </c>
      <c r="CG46" s="46">
        <f t="shared" si="77"/>
        <v>1864</v>
      </c>
      <c r="CH46" s="46">
        <v>58</v>
      </c>
      <c r="CI46" s="46">
        <v>23</v>
      </c>
      <c r="CJ46" s="46">
        <f t="shared" si="33"/>
        <v>81</v>
      </c>
      <c r="CK46" s="46">
        <v>24</v>
      </c>
      <c r="CL46" s="46">
        <v>15</v>
      </c>
      <c r="CM46" s="46">
        <f t="shared" si="34"/>
        <v>39</v>
      </c>
      <c r="CN46" s="46">
        <v>0</v>
      </c>
      <c r="CO46" s="46">
        <v>0</v>
      </c>
      <c r="CP46" s="46">
        <f t="shared" si="35"/>
        <v>0</v>
      </c>
      <c r="CQ46" s="46">
        <v>0</v>
      </c>
      <c r="CR46" s="46">
        <v>0</v>
      </c>
      <c r="CS46" s="46">
        <f t="shared" si="36"/>
        <v>0</v>
      </c>
      <c r="CT46" s="46">
        <v>0</v>
      </c>
      <c r="CU46" s="46">
        <v>0</v>
      </c>
      <c r="CV46" s="46">
        <f t="shared" si="37"/>
        <v>0</v>
      </c>
      <c r="CW46" s="46">
        <f t="shared" si="94"/>
        <v>1212</v>
      </c>
      <c r="CX46" s="46">
        <f t="shared" si="94"/>
        <v>652</v>
      </c>
      <c r="CY46" s="46">
        <f t="shared" si="39"/>
        <v>1864</v>
      </c>
      <c r="CZ46" s="28">
        <f t="shared" si="95"/>
        <v>58</v>
      </c>
      <c r="DA46" s="28">
        <f t="shared" si="95"/>
        <v>23</v>
      </c>
      <c r="DB46" s="2">
        <f t="shared" si="41"/>
        <v>81</v>
      </c>
      <c r="DC46" s="28">
        <f t="shared" si="96"/>
        <v>24</v>
      </c>
      <c r="DD46" s="28">
        <f t="shared" si="96"/>
        <v>15</v>
      </c>
      <c r="DE46" s="2">
        <f t="shared" si="43"/>
        <v>39</v>
      </c>
      <c r="DF46" s="46">
        <f t="shared" si="44"/>
        <v>79.89</v>
      </c>
      <c r="DG46" s="46">
        <f t="shared" si="45"/>
        <v>82.85</v>
      </c>
      <c r="DH46" s="46">
        <f t="shared" si="46"/>
        <v>80.900000000000006</v>
      </c>
      <c r="DI46" s="46">
        <f t="shared" si="47"/>
        <v>55.77</v>
      </c>
      <c r="DJ46" s="46">
        <f t="shared" si="48"/>
        <v>63.89</v>
      </c>
      <c r="DK46" s="46">
        <f t="shared" si="49"/>
        <v>57.86</v>
      </c>
      <c r="DL46" s="46">
        <f t="shared" si="50"/>
        <v>61.54</v>
      </c>
      <c r="DM46" s="46">
        <f t="shared" si="51"/>
        <v>57.69</v>
      </c>
      <c r="DN46" s="46">
        <f t="shared" si="52"/>
        <v>60</v>
      </c>
      <c r="DO46" s="46">
        <v>1307</v>
      </c>
      <c r="DP46" s="46">
        <v>1846</v>
      </c>
      <c r="DQ46" s="46">
        <f t="shared" si="78"/>
        <v>3153</v>
      </c>
      <c r="DR46" s="46">
        <v>10</v>
      </c>
      <c r="DS46" s="46">
        <v>11</v>
      </c>
      <c r="DT46" s="46">
        <f t="shared" si="79"/>
        <v>21</v>
      </c>
      <c r="DU46" s="46">
        <v>2</v>
      </c>
      <c r="DV46" s="46">
        <v>5</v>
      </c>
      <c r="DW46" s="46">
        <f t="shared" si="80"/>
        <v>7</v>
      </c>
      <c r="DX46" s="46">
        <v>11842</v>
      </c>
      <c r="DY46" s="46">
        <v>25121</v>
      </c>
      <c r="DZ46" s="46">
        <f t="shared" si="81"/>
        <v>36963</v>
      </c>
      <c r="EA46" s="46">
        <v>292</v>
      </c>
      <c r="EB46" s="46">
        <v>406</v>
      </c>
      <c r="EC46" s="46">
        <f t="shared" si="82"/>
        <v>698</v>
      </c>
      <c r="ED46" s="46">
        <v>136</v>
      </c>
      <c r="EE46" s="46">
        <v>108</v>
      </c>
      <c r="EF46" s="46">
        <f t="shared" si="83"/>
        <v>244</v>
      </c>
      <c r="EG46" s="46">
        <f t="shared" si="59"/>
        <v>0</v>
      </c>
      <c r="EH46" s="46">
        <f t="shared" si="60"/>
        <v>0</v>
      </c>
      <c r="EI46" s="46">
        <f t="shared" si="84"/>
        <v>0</v>
      </c>
      <c r="EJ46" s="46">
        <f t="shared" si="62"/>
        <v>0</v>
      </c>
      <c r="EK46" s="46">
        <f t="shared" si="63"/>
        <v>0</v>
      </c>
    </row>
    <row r="47" spans="1:142" ht="28.5" x14ac:dyDescent="0.25">
      <c r="A47" s="51">
        <v>27</v>
      </c>
      <c r="B47" s="45" t="s">
        <v>104</v>
      </c>
      <c r="C47" s="48" t="s">
        <v>105</v>
      </c>
      <c r="D47" s="65" t="s">
        <v>75</v>
      </c>
      <c r="E47" s="65" t="s">
        <v>75</v>
      </c>
      <c r="F47" s="65" t="s">
        <v>75</v>
      </c>
      <c r="G47" s="65" t="s">
        <v>75</v>
      </c>
      <c r="H47" s="46">
        <v>0</v>
      </c>
      <c r="I47" s="46">
        <v>0</v>
      </c>
      <c r="J47" s="46">
        <v>0</v>
      </c>
      <c r="K47" s="46">
        <f t="shared" si="0"/>
        <v>0</v>
      </c>
      <c r="L47" s="46">
        <v>0</v>
      </c>
      <c r="M47" s="46">
        <v>0</v>
      </c>
      <c r="N47" s="46">
        <v>0</v>
      </c>
      <c r="O47" s="46">
        <f t="shared" si="1"/>
        <v>0</v>
      </c>
      <c r="P47" s="46">
        <v>0</v>
      </c>
      <c r="Q47" s="46">
        <v>0</v>
      </c>
      <c r="R47" s="46">
        <v>0</v>
      </c>
      <c r="S47" s="46">
        <f t="shared" si="2"/>
        <v>0</v>
      </c>
      <c r="T47" s="46" t="e">
        <f t="shared" si="3"/>
        <v>#DIV/0!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46">
        <v>0</v>
      </c>
      <c r="AB47" s="47">
        <f t="shared" si="4"/>
        <v>0</v>
      </c>
      <c r="AC47" s="46">
        <v>473003</v>
      </c>
      <c r="AD47" s="46">
        <v>587495</v>
      </c>
      <c r="AE47" s="46">
        <f t="shared" si="5"/>
        <v>1060498</v>
      </c>
      <c r="AF47" s="46">
        <v>139447</v>
      </c>
      <c r="AG47" s="46">
        <v>164679</v>
      </c>
      <c r="AH47" s="46">
        <f t="shared" si="6"/>
        <v>304126</v>
      </c>
      <c r="AI47" s="46">
        <v>27618</v>
      </c>
      <c r="AJ47" s="46">
        <v>35521</v>
      </c>
      <c r="AK47" s="46">
        <f t="shared" si="7"/>
        <v>63139</v>
      </c>
      <c r="AL47" s="46">
        <v>412446</v>
      </c>
      <c r="AM47" s="46">
        <v>462117</v>
      </c>
      <c r="AN47" s="46">
        <f t="shared" si="8"/>
        <v>874563</v>
      </c>
      <c r="AO47" s="46">
        <v>116600</v>
      </c>
      <c r="AP47" s="46">
        <v>122050</v>
      </c>
      <c r="AQ47" s="46">
        <f t="shared" si="9"/>
        <v>238650</v>
      </c>
      <c r="AR47" s="46">
        <v>20038</v>
      </c>
      <c r="AS47" s="46">
        <v>21529</v>
      </c>
      <c r="AT47" s="46">
        <f t="shared" si="10"/>
        <v>41567</v>
      </c>
      <c r="AU47" s="46">
        <v>0</v>
      </c>
      <c r="AV47" s="46">
        <v>0</v>
      </c>
      <c r="AW47" s="46">
        <f t="shared" si="11"/>
        <v>0</v>
      </c>
      <c r="AX47" s="46">
        <v>0</v>
      </c>
      <c r="AY47" s="46">
        <v>0</v>
      </c>
      <c r="AZ47" s="46">
        <f t="shared" si="12"/>
        <v>0</v>
      </c>
      <c r="BA47" s="46">
        <v>0</v>
      </c>
      <c r="BB47" s="46">
        <v>0</v>
      </c>
      <c r="BC47" s="46">
        <f t="shared" si="13"/>
        <v>0</v>
      </c>
      <c r="BD47" s="46">
        <f t="shared" si="91"/>
        <v>412446</v>
      </c>
      <c r="BE47" s="46">
        <f t="shared" si="91"/>
        <v>462117</v>
      </c>
      <c r="BF47" s="46">
        <f t="shared" si="15"/>
        <v>874563</v>
      </c>
      <c r="BG47" s="46">
        <f t="shared" si="92"/>
        <v>116600</v>
      </c>
      <c r="BH47" s="46">
        <f t="shared" si="92"/>
        <v>122050</v>
      </c>
      <c r="BI47" s="46">
        <f t="shared" si="17"/>
        <v>238650</v>
      </c>
      <c r="BJ47" s="46">
        <f t="shared" si="93"/>
        <v>20038</v>
      </c>
      <c r="BK47" s="46">
        <f t="shared" si="93"/>
        <v>21529</v>
      </c>
      <c r="BL47" s="46">
        <f t="shared" si="19"/>
        <v>41567</v>
      </c>
      <c r="BM47" s="46">
        <f t="shared" si="20"/>
        <v>87.2</v>
      </c>
      <c r="BN47" s="46">
        <f t="shared" si="21"/>
        <v>78.66</v>
      </c>
      <c r="BO47" s="46">
        <f t="shared" si="22"/>
        <v>82.47</v>
      </c>
      <c r="BP47" s="46">
        <f t="shared" si="23"/>
        <v>83.62</v>
      </c>
      <c r="BQ47" s="46">
        <f t="shared" si="24"/>
        <v>74.11</v>
      </c>
      <c r="BR47" s="46">
        <f t="shared" si="25"/>
        <v>78.47</v>
      </c>
      <c r="BS47" s="46">
        <f t="shared" si="26"/>
        <v>72.55</v>
      </c>
      <c r="BT47" s="46">
        <f t="shared" si="27"/>
        <v>60.61</v>
      </c>
      <c r="BU47" s="46">
        <f t="shared" si="28"/>
        <v>65.83</v>
      </c>
      <c r="BV47" s="46">
        <v>466</v>
      </c>
      <c r="BW47" s="46">
        <v>159</v>
      </c>
      <c r="BX47" s="46">
        <f t="shared" si="29"/>
        <v>625</v>
      </c>
      <c r="BY47" s="46">
        <v>83</v>
      </c>
      <c r="BZ47" s="46">
        <v>22</v>
      </c>
      <c r="CA47" s="46">
        <f t="shared" si="76"/>
        <v>105</v>
      </c>
      <c r="CB47" s="46">
        <v>28</v>
      </c>
      <c r="CC47" s="46">
        <v>10</v>
      </c>
      <c r="CD47" s="46">
        <f t="shared" si="31"/>
        <v>38</v>
      </c>
      <c r="CE47" s="46">
        <v>358</v>
      </c>
      <c r="CF47" s="46">
        <v>63</v>
      </c>
      <c r="CG47" s="46">
        <f t="shared" si="77"/>
        <v>421</v>
      </c>
      <c r="CH47" s="46">
        <v>70</v>
      </c>
      <c r="CI47" s="46">
        <v>10</v>
      </c>
      <c r="CJ47" s="46">
        <f t="shared" si="33"/>
        <v>80</v>
      </c>
      <c r="CK47" s="46">
        <v>13</v>
      </c>
      <c r="CL47" s="46">
        <v>5</v>
      </c>
      <c r="CM47" s="46">
        <f t="shared" si="34"/>
        <v>18</v>
      </c>
      <c r="CN47" s="46">
        <v>0</v>
      </c>
      <c r="CO47" s="46">
        <v>0</v>
      </c>
      <c r="CP47" s="46">
        <f t="shared" si="35"/>
        <v>0</v>
      </c>
      <c r="CQ47" s="46">
        <v>0</v>
      </c>
      <c r="CR47" s="46">
        <v>0</v>
      </c>
      <c r="CS47" s="46">
        <f t="shared" si="36"/>
        <v>0</v>
      </c>
      <c r="CT47" s="46">
        <v>0</v>
      </c>
      <c r="CU47" s="46">
        <v>0</v>
      </c>
      <c r="CV47" s="46">
        <f t="shared" si="37"/>
        <v>0</v>
      </c>
      <c r="CW47" s="46">
        <f t="shared" si="94"/>
        <v>358</v>
      </c>
      <c r="CX47" s="46">
        <f t="shared" si="94"/>
        <v>63</v>
      </c>
      <c r="CY47" s="46">
        <f t="shared" si="39"/>
        <v>421</v>
      </c>
      <c r="CZ47" s="28">
        <f t="shared" si="95"/>
        <v>70</v>
      </c>
      <c r="DA47" s="28">
        <f t="shared" si="95"/>
        <v>10</v>
      </c>
      <c r="DB47" s="2">
        <f t="shared" si="41"/>
        <v>80</v>
      </c>
      <c r="DC47" s="28">
        <f t="shared" si="96"/>
        <v>13</v>
      </c>
      <c r="DD47" s="28">
        <f t="shared" si="96"/>
        <v>5</v>
      </c>
      <c r="DE47" s="2">
        <f t="shared" si="43"/>
        <v>18</v>
      </c>
      <c r="DF47" s="46">
        <f t="shared" si="44"/>
        <v>76.819999999999993</v>
      </c>
      <c r="DG47" s="46">
        <f t="shared" si="45"/>
        <v>39.619999999999997</v>
      </c>
      <c r="DH47" s="46">
        <f t="shared" si="46"/>
        <v>67.36</v>
      </c>
      <c r="DI47" s="46">
        <f t="shared" si="47"/>
        <v>84.34</v>
      </c>
      <c r="DJ47" s="46">
        <f t="shared" si="48"/>
        <v>45.45</v>
      </c>
      <c r="DK47" s="46">
        <f t="shared" si="49"/>
        <v>76.19</v>
      </c>
      <c r="DL47" s="46">
        <f t="shared" si="50"/>
        <v>46.43</v>
      </c>
      <c r="DM47" s="46">
        <f t="shared" si="51"/>
        <v>50</v>
      </c>
      <c r="DN47" s="46">
        <f t="shared" si="52"/>
        <v>47.37</v>
      </c>
      <c r="DO47" s="46">
        <v>27813</v>
      </c>
      <c r="DP47" s="46">
        <v>20599</v>
      </c>
      <c r="DQ47" s="46">
        <f t="shared" si="78"/>
        <v>48412</v>
      </c>
      <c r="DR47" s="46">
        <v>4152</v>
      </c>
      <c r="DS47" s="46">
        <v>2688</v>
      </c>
      <c r="DT47" s="46">
        <f t="shared" si="79"/>
        <v>6840</v>
      </c>
      <c r="DU47" s="46">
        <v>253</v>
      </c>
      <c r="DV47" s="46">
        <v>180</v>
      </c>
      <c r="DW47" s="46">
        <f t="shared" si="80"/>
        <v>433</v>
      </c>
      <c r="DX47" s="46">
        <v>36860</v>
      </c>
      <c r="DY47" s="46">
        <v>33974</v>
      </c>
      <c r="DZ47" s="46">
        <f t="shared" si="81"/>
        <v>70834</v>
      </c>
      <c r="EA47" s="46">
        <v>7165</v>
      </c>
      <c r="EB47" s="46">
        <v>5667</v>
      </c>
      <c r="EC47" s="46">
        <f t="shared" si="82"/>
        <v>12832</v>
      </c>
      <c r="ED47" s="46">
        <v>722</v>
      </c>
      <c r="EE47" s="46">
        <v>517</v>
      </c>
      <c r="EF47" s="46">
        <f t="shared" si="83"/>
        <v>1239</v>
      </c>
      <c r="EG47" s="46">
        <f t="shared" si="59"/>
        <v>-1061123</v>
      </c>
      <c r="EH47" s="46">
        <f t="shared" si="60"/>
        <v>-874984</v>
      </c>
      <c r="EI47" s="46">
        <f t="shared" si="84"/>
        <v>-755738</v>
      </c>
      <c r="EJ47" s="46">
        <f t="shared" si="62"/>
        <v>-219058</v>
      </c>
      <c r="EK47" s="46">
        <f t="shared" si="63"/>
        <v>-39913</v>
      </c>
    </row>
    <row r="48" spans="1:142" x14ac:dyDescent="0.25">
      <c r="A48" s="51">
        <v>44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 t="e">
        <f t="shared" si="3"/>
        <v>#DIV/0!</v>
      </c>
      <c r="U48" s="46">
        <v>5059</v>
      </c>
      <c r="V48" s="46">
        <v>4841</v>
      </c>
      <c r="W48" s="46">
        <v>1506</v>
      </c>
      <c r="X48" s="46">
        <v>489</v>
      </c>
      <c r="Y48" s="46">
        <v>182</v>
      </c>
      <c r="Z48" s="46">
        <v>69</v>
      </c>
      <c r="AA48" s="46">
        <v>42</v>
      </c>
      <c r="AB48" s="47">
        <f t="shared" si="4"/>
        <v>-12188</v>
      </c>
      <c r="AC48" s="46">
        <v>125</v>
      </c>
      <c r="AD48" s="46">
        <v>117</v>
      </c>
      <c r="AE48" s="46">
        <f t="shared" si="5"/>
        <v>242</v>
      </c>
      <c r="AF48" s="46">
        <v>20</v>
      </c>
      <c r="AG48" s="46">
        <v>20</v>
      </c>
      <c r="AH48" s="46">
        <f t="shared" si="6"/>
        <v>40</v>
      </c>
      <c r="AI48" s="46">
        <v>13</v>
      </c>
      <c r="AJ48" s="46">
        <v>20</v>
      </c>
      <c r="AK48" s="46">
        <f t="shared" si="7"/>
        <v>33</v>
      </c>
      <c r="AL48" s="46">
        <v>120</v>
      </c>
      <c r="AM48" s="46">
        <v>110</v>
      </c>
      <c r="AN48" s="46">
        <f t="shared" si="8"/>
        <v>230</v>
      </c>
      <c r="AO48" s="46">
        <v>19</v>
      </c>
      <c r="AP48" s="46">
        <v>17</v>
      </c>
      <c r="AQ48" s="46">
        <f t="shared" si="9"/>
        <v>36</v>
      </c>
      <c r="AR48" s="46">
        <v>12</v>
      </c>
      <c r="AS48" s="46">
        <v>19</v>
      </c>
      <c r="AT48" s="46">
        <f t="shared" si="10"/>
        <v>31</v>
      </c>
      <c r="AU48" s="46">
        <v>2</v>
      </c>
      <c r="AV48" s="46">
        <v>4</v>
      </c>
      <c r="AW48" s="46">
        <f t="shared" si="11"/>
        <v>6</v>
      </c>
      <c r="AX48" s="46">
        <v>1</v>
      </c>
      <c r="AY48" s="46">
        <v>1</v>
      </c>
      <c r="AZ48" s="46">
        <f t="shared" si="12"/>
        <v>2</v>
      </c>
      <c r="BA48" s="46"/>
      <c r="BB48" s="46"/>
      <c r="BC48" s="46">
        <f t="shared" si="13"/>
        <v>0</v>
      </c>
      <c r="BD48" s="46">
        <v>122</v>
      </c>
      <c r="BE48" s="46">
        <v>114</v>
      </c>
      <c r="BF48" s="46">
        <f t="shared" si="15"/>
        <v>236</v>
      </c>
      <c r="BG48" s="46">
        <v>20</v>
      </c>
      <c r="BH48" s="46">
        <v>18</v>
      </c>
      <c r="BI48" s="46">
        <f t="shared" si="17"/>
        <v>38</v>
      </c>
      <c r="BJ48" s="46">
        <v>12</v>
      </c>
      <c r="BK48" s="46">
        <v>19</v>
      </c>
      <c r="BL48" s="46">
        <f t="shared" si="19"/>
        <v>31</v>
      </c>
      <c r="BM48" s="46">
        <f t="shared" si="20"/>
        <v>97.6</v>
      </c>
      <c r="BN48" s="46">
        <f t="shared" si="21"/>
        <v>97.44</v>
      </c>
      <c r="BO48" s="46">
        <f t="shared" si="22"/>
        <v>97.52</v>
      </c>
      <c r="BP48" s="46">
        <f t="shared" si="23"/>
        <v>100</v>
      </c>
      <c r="BQ48" s="46">
        <f t="shared" si="24"/>
        <v>90</v>
      </c>
      <c r="BR48" s="46">
        <f t="shared" si="25"/>
        <v>95</v>
      </c>
      <c r="BS48" s="46">
        <f t="shared" si="26"/>
        <v>92.31</v>
      </c>
      <c r="BT48" s="46">
        <f t="shared" si="27"/>
        <v>95</v>
      </c>
      <c r="BU48" s="46">
        <f t="shared" si="28"/>
        <v>93.94</v>
      </c>
      <c r="BV48" s="46">
        <v>0</v>
      </c>
      <c r="BW48" s="46">
        <v>0</v>
      </c>
      <c r="BX48" s="46">
        <f t="shared" si="29"/>
        <v>0</v>
      </c>
      <c r="BY48" s="46">
        <v>0</v>
      </c>
      <c r="BZ48" s="46">
        <v>0</v>
      </c>
      <c r="CA48" s="46">
        <f t="shared" si="76"/>
        <v>0</v>
      </c>
      <c r="CB48" s="46">
        <v>0</v>
      </c>
      <c r="CC48" s="46">
        <v>0</v>
      </c>
      <c r="CD48" s="46">
        <f t="shared" si="31"/>
        <v>0</v>
      </c>
      <c r="CE48" s="46">
        <v>0</v>
      </c>
      <c r="CF48" s="46">
        <v>0</v>
      </c>
      <c r="CG48" s="46">
        <f t="shared" si="77"/>
        <v>0</v>
      </c>
      <c r="CH48" s="46">
        <v>0</v>
      </c>
      <c r="CI48" s="46">
        <v>0</v>
      </c>
      <c r="CJ48" s="46">
        <f t="shared" si="33"/>
        <v>0</v>
      </c>
      <c r="CK48" s="46">
        <v>0</v>
      </c>
      <c r="CL48" s="46">
        <v>0</v>
      </c>
      <c r="CM48" s="46">
        <f t="shared" si="34"/>
        <v>0</v>
      </c>
      <c r="CN48" s="46">
        <v>0</v>
      </c>
      <c r="CO48" s="46">
        <v>0</v>
      </c>
      <c r="CP48" s="46">
        <f t="shared" si="35"/>
        <v>0</v>
      </c>
      <c r="CQ48" s="46">
        <v>0</v>
      </c>
      <c r="CR48" s="46">
        <v>0</v>
      </c>
      <c r="CS48" s="46">
        <f t="shared" si="36"/>
        <v>0</v>
      </c>
      <c r="CT48" s="46">
        <v>0</v>
      </c>
      <c r="CU48" s="46">
        <v>0</v>
      </c>
      <c r="CV48" s="46">
        <f t="shared" si="37"/>
        <v>0</v>
      </c>
      <c r="CW48" s="46">
        <v>0</v>
      </c>
      <c r="CX48" s="46">
        <v>0</v>
      </c>
      <c r="CY48" s="46">
        <f t="shared" si="39"/>
        <v>0</v>
      </c>
      <c r="CZ48" s="46">
        <v>0</v>
      </c>
      <c r="DA48" s="46">
        <v>0</v>
      </c>
      <c r="DB48" s="46">
        <f t="shared" si="41"/>
        <v>0</v>
      </c>
      <c r="DC48" s="46">
        <v>0</v>
      </c>
      <c r="DD48" s="46">
        <v>0</v>
      </c>
      <c r="DE48" s="46">
        <f t="shared" si="43"/>
        <v>0</v>
      </c>
      <c r="DF48" s="46" t="e">
        <f t="shared" si="44"/>
        <v>#DIV/0!</v>
      </c>
      <c r="DG48" s="46" t="e">
        <f t="shared" si="45"/>
        <v>#DIV/0!</v>
      </c>
      <c r="DH48" s="46" t="e">
        <f t="shared" si="46"/>
        <v>#DIV/0!</v>
      </c>
      <c r="DI48" s="46" t="e">
        <f t="shared" si="47"/>
        <v>#DIV/0!</v>
      </c>
      <c r="DJ48" s="46" t="e">
        <f t="shared" si="48"/>
        <v>#DIV/0!</v>
      </c>
      <c r="DK48" s="46" t="e">
        <f t="shared" si="49"/>
        <v>#DIV/0!</v>
      </c>
      <c r="DL48" s="46" t="e">
        <f t="shared" si="50"/>
        <v>#DIV/0!</v>
      </c>
      <c r="DM48" s="46" t="e">
        <f t="shared" si="51"/>
        <v>#DIV/0!</v>
      </c>
      <c r="DN48" s="46" t="e">
        <f t="shared" si="52"/>
        <v>#DIV/0!</v>
      </c>
      <c r="DO48" s="46">
        <v>93</v>
      </c>
      <c r="DP48" s="46">
        <v>94</v>
      </c>
      <c r="DQ48" s="46">
        <f t="shared" si="78"/>
        <v>187</v>
      </c>
      <c r="DR48" s="46">
        <v>15</v>
      </c>
      <c r="DS48" s="46">
        <v>12</v>
      </c>
      <c r="DT48" s="46">
        <f t="shared" si="79"/>
        <v>27</v>
      </c>
      <c r="DU48" s="46">
        <v>9</v>
      </c>
      <c r="DV48" s="46">
        <v>13</v>
      </c>
      <c r="DW48" s="46">
        <f t="shared" si="80"/>
        <v>22</v>
      </c>
      <c r="DX48" s="46">
        <v>29</v>
      </c>
      <c r="DY48" s="46">
        <v>20</v>
      </c>
      <c r="DZ48" s="46">
        <f t="shared" si="81"/>
        <v>49</v>
      </c>
      <c r="EA48" s="46">
        <v>5</v>
      </c>
      <c r="EB48" s="46">
        <v>6</v>
      </c>
      <c r="EC48" s="46">
        <f t="shared" si="82"/>
        <v>11</v>
      </c>
      <c r="ED48" s="46">
        <v>3</v>
      </c>
      <c r="EE48" s="46">
        <v>6</v>
      </c>
      <c r="EF48" s="46">
        <f t="shared" si="83"/>
        <v>9</v>
      </c>
      <c r="EG48" s="46">
        <f t="shared" si="59"/>
        <v>-242</v>
      </c>
      <c r="EH48" s="46">
        <f t="shared" si="60"/>
        <v>-236</v>
      </c>
      <c r="EI48" s="46">
        <f t="shared" si="84"/>
        <v>0</v>
      </c>
      <c r="EJ48" s="46">
        <f t="shared" si="62"/>
        <v>0</v>
      </c>
      <c r="EK48" s="46">
        <f t="shared" si="63"/>
        <v>0</v>
      </c>
    </row>
    <row r="49" spans="1:14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 t="e">
        <f t="shared" si="3"/>
        <v>#DIV/0!</v>
      </c>
      <c r="U49" s="46">
        <v>5059</v>
      </c>
      <c r="V49" s="46">
        <v>4841</v>
      </c>
      <c r="W49" s="46">
        <v>1506</v>
      </c>
      <c r="X49" s="46">
        <v>489</v>
      </c>
      <c r="Y49" s="46">
        <v>182</v>
      </c>
      <c r="Z49" s="46">
        <v>69</v>
      </c>
      <c r="AA49" s="46">
        <v>42</v>
      </c>
      <c r="AB49" s="47">
        <f t="shared" si="4"/>
        <v>-12188</v>
      </c>
      <c r="AC49" s="46">
        <v>125</v>
      </c>
      <c r="AD49" s="46">
        <v>117</v>
      </c>
      <c r="AE49" s="46">
        <f t="shared" si="5"/>
        <v>242</v>
      </c>
      <c r="AF49" s="46">
        <v>20</v>
      </c>
      <c r="AG49" s="46">
        <v>20</v>
      </c>
      <c r="AH49" s="46">
        <f t="shared" si="6"/>
        <v>40</v>
      </c>
      <c r="AI49" s="46">
        <v>13</v>
      </c>
      <c r="AJ49" s="46">
        <v>20</v>
      </c>
      <c r="AK49" s="46">
        <f t="shared" si="7"/>
        <v>33</v>
      </c>
      <c r="AL49" s="46">
        <v>120</v>
      </c>
      <c r="AM49" s="46">
        <v>110</v>
      </c>
      <c r="AN49" s="46">
        <f t="shared" si="8"/>
        <v>230</v>
      </c>
      <c r="AO49" s="46">
        <v>19</v>
      </c>
      <c r="AP49" s="46">
        <v>17</v>
      </c>
      <c r="AQ49" s="46">
        <f t="shared" si="9"/>
        <v>36</v>
      </c>
      <c r="AR49" s="46">
        <v>12</v>
      </c>
      <c r="AS49" s="46">
        <v>19</v>
      </c>
      <c r="AT49" s="46">
        <f t="shared" si="10"/>
        <v>31</v>
      </c>
      <c r="AU49" s="46">
        <v>2</v>
      </c>
      <c r="AV49" s="46">
        <v>4</v>
      </c>
      <c r="AW49" s="46">
        <f t="shared" si="11"/>
        <v>6</v>
      </c>
      <c r="AX49" s="46">
        <v>1</v>
      </c>
      <c r="AY49" s="46">
        <v>1</v>
      </c>
      <c r="AZ49" s="46">
        <f t="shared" si="12"/>
        <v>2</v>
      </c>
      <c r="BA49" s="46"/>
      <c r="BB49" s="46"/>
      <c r="BC49" s="46">
        <f t="shared" si="13"/>
        <v>0</v>
      </c>
      <c r="BD49" s="46">
        <v>122</v>
      </c>
      <c r="BE49" s="46">
        <v>114</v>
      </c>
      <c r="BF49" s="46">
        <f t="shared" si="15"/>
        <v>236</v>
      </c>
      <c r="BG49" s="46">
        <v>20</v>
      </c>
      <c r="BH49" s="46">
        <v>18</v>
      </c>
      <c r="BI49" s="46">
        <f t="shared" si="17"/>
        <v>38</v>
      </c>
      <c r="BJ49" s="46">
        <v>12</v>
      </c>
      <c r="BK49" s="46">
        <v>19</v>
      </c>
      <c r="BL49" s="46">
        <f t="shared" si="19"/>
        <v>31</v>
      </c>
      <c r="BM49" s="46">
        <f t="shared" si="20"/>
        <v>97.6</v>
      </c>
      <c r="BN49" s="46">
        <f t="shared" si="21"/>
        <v>97.44</v>
      </c>
      <c r="BO49" s="46">
        <f t="shared" si="22"/>
        <v>97.52</v>
      </c>
      <c r="BP49" s="46">
        <f t="shared" si="23"/>
        <v>100</v>
      </c>
      <c r="BQ49" s="46">
        <f t="shared" si="24"/>
        <v>90</v>
      </c>
      <c r="BR49" s="46">
        <f t="shared" si="25"/>
        <v>95</v>
      </c>
      <c r="BS49" s="46">
        <f t="shared" si="26"/>
        <v>92.31</v>
      </c>
      <c r="BT49" s="46">
        <f t="shared" si="27"/>
        <v>95</v>
      </c>
      <c r="BU49" s="46">
        <f t="shared" si="28"/>
        <v>93.94</v>
      </c>
      <c r="BV49" s="46">
        <v>0</v>
      </c>
      <c r="BW49" s="46">
        <v>0</v>
      </c>
      <c r="BX49" s="46">
        <f t="shared" si="29"/>
        <v>0</v>
      </c>
      <c r="BY49" s="46">
        <v>0</v>
      </c>
      <c r="BZ49" s="46">
        <v>0</v>
      </c>
      <c r="CA49" s="46">
        <f t="shared" si="76"/>
        <v>0</v>
      </c>
      <c r="CB49" s="46">
        <v>0</v>
      </c>
      <c r="CC49" s="46">
        <v>0</v>
      </c>
      <c r="CD49" s="46">
        <f t="shared" si="31"/>
        <v>0</v>
      </c>
      <c r="CE49" s="46">
        <v>0</v>
      </c>
      <c r="CF49" s="46">
        <v>0</v>
      </c>
      <c r="CG49" s="46">
        <f t="shared" si="77"/>
        <v>0</v>
      </c>
      <c r="CH49" s="46">
        <v>0</v>
      </c>
      <c r="CI49" s="46">
        <v>0</v>
      </c>
      <c r="CJ49" s="46">
        <f t="shared" si="33"/>
        <v>0</v>
      </c>
      <c r="CK49" s="46">
        <v>0</v>
      </c>
      <c r="CL49" s="46">
        <v>0</v>
      </c>
      <c r="CM49" s="46">
        <f t="shared" si="34"/>
        <v>0</v>
      </c>
      <c r="CN49" s="46">
        <v>0</v>
      </c>
      <c r="CO49" s="46">
        <v>0</v>
      </c>
      <c r="CP49" s="46">
        <f t="shared" si="35"/>
        <v>0</v>
      </c>
      <c r="CQ49" s="46">
        <v>0</v>
      </c>
      <c r="CR49" s="46">
        <v>0</v>
      </c>
      <c r="CS49" s="46">
        <f t="shared" si="36"/>
        <v>0</v>
      </c>
      <c r="CT49" s="46">
        <v>0</v>
      </c>
      <c r="CU49" s="46">
        <v>0</v>
      </c>
      <c r="CV49" s="46">
        <f t="shared" si="37"/>
        <v>0</v>
      </c>
      <c r="CW49" s="46">
        <v>0</v>
      </c>
      <c r="CX49" s="46">
        <v>0</v>
      </c>
      <c r="CY49" s="46">
        <f t="shared" si="39"/>
        <v>0</v>
      </c>
      <c r="CZ49" s="46">
        <v>0</v>
      </c>
      <c r="DA49" s="46">
        <v>0</v>
      </c>
      <c r="DB49" s="46">
        <f t="shared" si="41"/>
        <v>0</v>
      </c>
      <c r="DC49" s="46">
        <v>0</v>
      </c>
      <c r="DD49" s="46">
        <v>0</v>
      </c>
      <c r="DE49" s="46">
        <f t="shared" si="43"/>
        <v>0</v>
      </c>
      <c r="DF49" s="46" t="e">
        <f t="shared" si="44"/>
        <v>#DIV/0!</v>
      </c>
      <c r="DG49" s="46" t="e">
        <f t="shared" si="45"/>
        <v>#DIV/0!</v>
      </c>
      <c r="DH49" s="46" t="e">
        <f t="shared" si="46"/>
        <v>#DIV/0!</v>
      </c>
      <c r="DI49" s="46" t="e">
        <f t="shared" si="47"/>
        <v>#DIV/0!</v>
      </c>
      <c r="DJ49" s="46" t="e">
        <f t="shared" si="48"/>
        <v>#DIV/0!</v>
      </c>
      <c r="DK49" s="46" t="e">
        <f t="shared" si="49"/>
        <v>#DIV/0!</v>
      </c>
      <c r="DL49" s="46" t="e">
        <f t="shared" si="50"/>
        <v>#DIV/0!</v>
      </c>
      <c r="DM49" s="46" t="e">
        <f t="shared" si="51"/>
        <v>#DIV/0!</v>
      </c>
      <c r="DN49" s="46" t="e">
        <f t="shared" si="52"/>
        <v>#DIV/0!</v>
      </c>
      <c r="DO49" s="46">
        <v>93</v>
      </c>
      <c r="DP49" s="46">
        <v>94</v>
      </c>
      <c r="DQ49" s="46">
        <f t="shared" si="78"/>
        <v>187</v>
      </c>
      <c r="DR49" s="46">
        <v>15</v>
      </c>
      <c r="DS49" s="46">
        <v>12</v>
      </c>
      <c r="DT49" s="46">
        <f t="shared" si="79"/>
        <v>27</v>
      </c>
      <c r="DU49" s="46">
        <v>9</v>
      </c>
      <c r="DV49" s="46">
        <v>13</v>
      </c>
      <c r="DW49" s="46">
        <f t="shared" si="80"/>
        <v>22</v>
      </c>
      <c r="DX49" s="46">
        <v>29</v>
      </c>
      <c r="DY49" s="46">
        <v>20</v>
      </c>
      <c r="DZ49" s="46">
        <f t="shared" si="81"/>
        <v>49</v>
      </c>
      <c r="EA49" s="46">
        <v>5</v>
      </c>
      <c r="EB49" s="46">
        <v>6</v>
      </c>
      <c r="EC49" s="46">
        <f t="shared" si="82"/>
        <v>11</v>
      </c>
      <c r="ED49" s="46">
        <v>3</v>
      </c>
      <c r="EE49" s="46">
        <v>6</v>
      </c>
      <c r="EF49" s="46">
        <f t="shared" si="83"/>
        <v>9</v>
      </c>
      <c r="EG49" s="46">
        <f t="shared" si="59"/>
        <v>-242</v>
      </c>
      <c r="EH49" s="46">
        <f t="shared" si="60"/>
        <v>-236</v>
      </c>
      <c r="EI49" s="46">
        <f t="shared" si="84"/>
        <v>0</v>
      </c>
      <c r="EJ49" s="46">
        <f t="shared" si="62"/>
        <v>0</v>
      </c>
      <c r="EK49" s="46">
        <f t="shared" si="63"/>
        <v>0</v>
      </c>
    </row>
    <row r="50" spans="1:14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 t="e">
        <f t="shared" si="3"/>
        <v>#DIV/0!</v>
      </c>
      <c r="U50" s="46">
        <v>5059</v>
      </c>
      <c r="V50" s="46">
        <v>4841</v>
      </c>
      <c r="W50" s="46">
        <v>1506</v>
      </c>
      <c r="X50" s="46">
        <v>489</v>
      </c>
      <c r="Y50" s="46">
        <v>182</v>
      </c>
      <c r="Z50" s="46">
        <v>69</v>
      </c>
      <c r="AA50" s="46">
        <v>42</v>
      </c>
      <c r="AB50" s="47">
        <f t="shared" si="4"/>
        <v>-12188</v>
      </c>
      <c r="AC50" s="46">
        <v>125</v>
      </c>
      <c r="AD50" s="46">
        <v>117</v>
      </c>
      <c r="AE50" s="46">
        <f t="shared" si="5"/>
        <v>242</v>
      </c>
      <c r="AF50" s="46">
        <v>20</v>
      </c>
      <c r="AG50" s="46">
        <v>20</v>
      </c>
      <c r="AH50" s="46">
        <f t="shared" si="6"/>
        <v>40</v>
      </c>
      <c r="AI50" s="46">
        <v>13</v>
      </c>
      <c r="AJ50" s="46">
        <v>20</v>
      </c>
      <c r="AK50" s="46">
        <f t="shared" si="7"/>
        <v>33</v>
      </c>
      <c r="AL50" s="46">
        <v>120</v>
      </c>
      <c r="AM50" s="46">
        <v>110</v>
      </c>
      <c r="AN50" s="46">
        <f t="shared" si="8"/>
        <v>230</v>
      </c>
      <c r="AO50" s="46">
        <v>19</v>
      </c>
      <c r="AP50" s="46">
        <v>17</v>
      </c>
      <c r="AQ50" s="46">
        <f t="shared" si="9"/>
        <v>36</v>
      </c>
      <c r="AR50" s="46">
        <v>12</v>
      </c>
      <c r="AS50" s="46">
        <v>19</v>
      </c>
      <c r="AT50" s="46">
        <f t="shared" si="10"/>
        <v>31</v>
      </c>
      <c r="AU50" s="46">
        <v>2</v>
      </c>
      <c r="AV50" s="46">
        <v>4</v>
      </c>
      <c r="AW50" s="46">
        <f t="shared" si="11"/>
        <v>6</v>
      </c>
      <c r="AX50" s="46">
        <v>1</v>
      </c>
      <c r="AY50" s="46">
        <v>1</v>
      </c>
      <c r="AZ50" s="46">
        <f t="shared" si="12"/>
        <v>2</v>
      </c>
      <c r="BA50" s="46"/>
      <c r="BB50" s="46"/>
      <c r="BC50" s="46">
        <f t="shared" si="13"/>
        <v>0</v>
      </c>
      <c r="BD50" s="46">
        <v>122</v>
      </c>
      <c r="BE50" s="46">
        <v>114</v>
      </c>
      <c r="BF50" s="46">
        <f t="shared" si="15"/>
        <v>236</v>
      </c>
      <c r="BG50" s="46">
        <v>20</v>
      </c>
      <c r="BH50" s="46">
        <v>18</v>
      </c>
      <c r="BI50" s="46">
        <f t="shared" si="17"/>
        <v>38</v>
      </c>
      <c r="BJ50" s="46">
        <v>12</v>
      </c>
      <c r="BK50" s="46">
        <v>19</v>
      </c>
      <c r="BL50" s="46">
        <f t="shared" si="19"/>
        <v>31</v>
      </c>
      <c r="BM50" s="46">
        <f t="shared" si="20"/>
        <v>97.6</v>
      </c>
      <c r="BN50" s="46">
        <f t="shared" si="21"/>
        <v>97.44</v>
      </c>
      <c r="BO50" s="46">
        <f t="shared" si="22"/>
        <v>97.52</v>
      </c>
      <c r="BP50" s="46">
        <f t="shared" si="23"/>
        <v>100</v>
      </c>
      <c r="BQ50" s="46">
        <f t="shared" si="24"/>
        <v>90</v>
      </c>
      <c r="BR50" s="46">
        <f t="shared" si="25"/>
        <v>95</v>
      </c>
      <c r="BS50" s="46">
        <f t="shared" si="26"/>
        <v>92.31</v>
      </c>
      <c r="BT50" s="46">
        <f t="shared" si="27"/>
        <v>95</v>
      </c>
      <c r="BU50" s="46">
        <f t="shared" si="28"/>
        <v>93.94</v>
      </c>
      <c r="BV50" s="46">
        <v>0</v>
      </c>
      <c r="BW50" s="46">
        <v>0</v>
      </c>
      <c r="BX50" s="46">
        <f t="shared" si="29"/>
        <v>0</v>
      </c>
      <c r="BY50" s="46">
        <v>0</v>
      </c>
      <c r="BZ50" s="46">
        <v>0</v>
      </c>
      <c r="CA50" s="46">
        <f t="shared" si="76"/>
        <v>0</v>
      </c>
      <c r="CB50" s="46">
        <v>0</v>
      </c>
      <c r="CC50" s="46">
        <v>0</v>
      </c>
      <c r="CD50" s="46">
        <f t="shared" si="31"/>
        <v>0</v>
      </c>
      <c r="CE50" s="46">
        <v>0</v>
      </c>
      <c r="CF50" s="46">
        <v>0</v>
      </c>
      <c r="CG50" s="46">
        <f t="shared" si="77"/>
        <v>0</v>
      </c>
      <c r="CH50" s="46">
        <v>0</v>
      </c>
      <c r="CI50" s="46">
        <v>0</v>
      </c>
      <c r="CJ50" s="46">
        <f t="shared" si="33"/>
        <v>0</v>
      </c>
      <c r="CK50" s="46">
        <v>0</v>
      </c>
      <c r="CL50" s="46">
        <v>0</v>
      </c>
      <c r="CM50" s="46">
        <f t="shared" si="34"/>
        <v>0</v>
      </c>
      <c r="CN50" s="46">
        <v>0</v>
      </c>
      <c r="CO50" s="46">
        <v>0</v>
      </c>
      <c r="CP50" s="46">
        <f t="shared" si="35"/>
        <v>0</v>
      </c>
      <c r="CQ50" s="46">
        <v>0</v>
      </c>
      <c r="CR50" s="46">
        <v>0</v>
      </c>
      <c r="CS50" s="46">
        <f t="shared" si="36"/>
        <v>0</v>
      </c>
      <c r="CT50" s="46">
        <v>0</v>
      </c>
      <c r="CU50" s="46">
        <v>0</v>
      </c>
      <c r="CV50" s="46">
        <f t="shared" si="37"/>
        <v>0</v>
      </c>
      <c r="CW50" s="46">
        <v>0</v>
      </c>
      <c r="CX50" s="46">
        <v>0</v>
      </c>
      <c r="CY50" s="46">
        <f t="shared" si="39"/>
        <v>0</v>
      </c>
      <c r="CZ50" s="46">
        <v>0</v>
      </c>
      <c r="DA50" s="46">
        <v>0</v>
      </c>
      <c r="DB50" s="46">
        <f t="shared" si="41"/>
        <v>0</v>
      </c>
      <c r="DC50" s="46">
        <v>0</v>
      </c>
      <c r="DD50" s="46">
        <v>0</v>
      </c>
      <c r="DE50" s="46">
        <f t="shared" si="43"/>
        <v>0</v>
      </c>
      <c r="DF50" s="46" t="e">
        <f t="shared" si="44"/>
        <v>#DIV/0!</v>
      </c>
      <c r="DG50" s="46" t="e">
        <f t="shared" si="45"/>
        <v>#DIV/0!</v>
      </c>
      <c r="DH50" s="46" t="e">
        <f t="shared" si="46"/>
        <v>#DIV/0!</v>
      </c>
      <c r="DI50" s="46" t="e">
        <f t="shared" si="47"/>
        <v>#DIV/0!</v>
      </c>
      <c r="DJ50" s="46" t="e">
        <f t="shared" si="48"/>
        <v>#DIV/0!</v>
      </c>
      <c r="DK50" s="46" t="e">
        <f t="shared" si="49"/>
        <v>#DIV/0!</v>
      </c>
      <c r="DL50" s="46" t="e">
        <f t="shared" si="50"/>
        <v>#DIV/0!</v>
      </c>
      <c r="DM50" s="46" t="e">
        <f t="shared" si="51"/>
        <v>#DIV/0!</v>
      </c>
      <c r="DN50" s="46" t="e">
        <f t="shared" si="52"/>
        <v>#DIV/0!</v>
      </c>
      <c r="DO50" s="46">
        <v>93</v>
      </c>
      <c r="DP50" s="46">
        <v>94</v>
      </c>
      <c r="DQ50" s="46">
        <f t="shared" si="78"/>
        <v>187</v>
      </c>
      <c r="DR50" s="46">
        <v>15</v>
      </c>
      <c r="DS50" s="46">
        <v>12</v>
      </c>
      <c r="DT50" s="46">
        <f t="shared" si="79"/>
        <v>27</v>
      </c>
      <c r="DU50" s="46">
        <v>9</v>
      </c>
      <c r="DV50" s="46">
        <v>13</v>
      </c>
      <c r="DW50" s="46">
        <f t="shared" si="80"/>
        <v>22</v>
      </c>
      <c r="DX50" s="46">
        <v>29</v>
      </c>
      <c r="DY50" s="46">
        <v>20</v>
      </c>
      <c r="DZ50" s="46">
        <f t="shared" si="81"/>
        <v>49</v>
      </c>
      <c r="EA50" s="46">
        <v>5</v>
      </c>
      <c r="EB50" s="46">
        <v>6</v>
      </c>
      <c r="EC50" s="46">
        <f t="shared" si="82"/>
        <v>11</v>
      </c>
      <c r="ED50" s="46">
        <v>3</v>
      </c>
      <c r="EE50" s="46">
        <v>6</v>
      </c>
      <c r="EF50" s="46">
        <f t="shared" si="83"/>
        <v>9</v>
      </c>
      <c r="EG50" s="46">
        <f t="shared" si="59"/>
        <v>-242</v>
      </c>
      <c r="EH50" s="46">
        <f t="shared" si="60"/>
        <v>-236</v>
      </c>
      <c r="EI50" s="46">
        <f t="shared" si="84"/>
        <v>0</v>
      </c>
      <c r="EJ50" s="46">
        <f t="shared" si="62"/>
        <v>0</v>
      </c>
      <c r="EK50" s="46">
        <f t="shared" si="63"/>
        <v>0</v>
      </c>
    </row>
  </sheetData>
  <protectedRanges>
    <protectedRange sqref="AC4:AD4 AC10:AD12 AC6:AD6 AC16:AD18" name="Range1_1"/>
    <protectedRange sqref="AC7:AD7" name="Range1_1_2"/>
    <protectedRange sqref="AC8:AD8" name="Range1_1_3"/>
    <protectedRange sqref="AC9:AD9" name="Range1_1_4"/>
    <protectedRange sqref="AC13:AD14" name="Range1_1_5"/>
    <protectedRange sqref="AC15:AD15" name="Range1_1_6"/>
    <protectedRange sqref="AC5:AD5" name="Range1_1_7"/>
    <protectedRange sqref="AC19:AD19" name="Range1_1_8"/>
  </protectedRanges>
  <autoFilter ref="A2:EL2" xr:uid="{00000000-0009-0000-0000-000001000000}">
    <sortState xmlns:xlrd2="http://schemas.microsoft.com/office/spreadsheetml/2017/richdata2" ref="A3:EL50">
      <sortCondition ref="B2"/>
    </sortState>
  </autoFilter>
  <mergeCells count="20">
    <mergeCell ref="CE1:CM1"/>
    <mergeCell ref="BM1:BU1"/>
    <mergeCell ref="CN1:CV1"/>
    <mergeCell ref="CW1:DE1"/>
    <mergeCell ref="D1:E1"/>
    <mergeCell ref="F1:G1"/>
    <mergeCell ref="DO1:DW1"/>
    <mergeCell ref="DX1:EF1"/>
    <mergeCell ref="EI1:EK1"/>
    <mergeCell ref="H1:K1"/>
    <mergeCell ref="L1:O1"/>
    <mergeCell ref="P1:T1"/>
    <mergeCell ref="U1:AB1"/>
    <mergeCell ref="DF1:DN1"/>
    <mergeCell ref="EG1:EH1"/>
    <mergeCell ref="AC1:AK1"/>
    <mergeCell ref="AL1:AT1"/>
    <mergeCell ref="AU1:BC1"/>
    <mergeCell ref="BD1:BL1"/>
    <mergeCell ref="BV1:C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J93"/>
  <sheetViews>
    <sheetView view="pageBreakPreview" zoomScale="85" zoomScaleSheetLayoutView="85" workbookViewId="0">
      <pane xSplit="3" ySplit="6" topLeftCell="CS7" activePane="bottomRight" state="frozen"/>
      <selection pane="topRight" activeCell="D1" sqref="D1"/>
      <selection pane="bottomLeft" activeCell="A7" sqref="A7"/>
      <selection pane="bottomRight" activeCell="DB16" sqref="DB16"/>
    </sheetView>
  </sheetViews>
  <sheetFormatPr defaultRowHeight="15" x14ac:dyDescent="0.25"/>
  <cols>
    <col min="1" max="1" width="7.28515625" customWidth="1"/>
    <col min="2" max="2" width="16.85546875" customWidth="1"/>
    <col min="3" max="3" width="32.28515625" customWidth="1"/>
    <col min="4" max="15" width="16.42578125" customWidth="1"/>
    <col min="16" max="24" width="22.140625" customWidth="1"/>
    <col min="25" max="36" width="16.28515625" customWidth="1"/>
    <col min="37" max="45" width="22.140625" customWidth="1"/>
    <col min="46" max="57" width="16.28515625" customWidth="1"/>
    <col min="58" max="66" width="22.28515625" customWidth="1"/>
    <col min="67" max="78" width="16.28515625" customWidth="1"/>
    <col min="79" max="87" width="22.140625" customWidth="1"/>
    <col min="88" max="99" width="16.28515625" customWidth="1"/>
    <col min="100" max="108" width="22.140625" customWidth="1"/>
    <col min="109" max="109" width="10" bestFit="1" customWidth="1"/>
    <col min="111" max="111" width="11.140625" bestFit="1" customWidth="1"/>
    <col min="112" max="112" width="10" bestFit="1" customWidth="1"/>
    <col min="114" max="114" width="11.140625" bestFit="1" customWidth="1"/>
    <col min="115" max="115" width="10" bestFit="1" customWidth="1"/>
    <col min="117" max="118" width="11.140625" bestFit="1" customWidth="1"/>
    <col min="120" max="120" width="11.140625" bestFit="1" customWidth="1"/>
    <col min="121" max="121" width="10" bestFit="1" customWidth="1"/>
    <col min="123" max="123" width="11.140625" bestFit="1" customWidth="1"/>
    <col min="124" max="124" width="10" bestFit="1" customWidth="1"/>
    <col min="126" max="126" width="11.140625" bestFit="1" customWidth="1"/>
    <col min="132" max="135" width="11" bestFit="1" customWidth="1"/>
  </cols>
  <sheetData>
    <row r="1" spans="1:140" ht="18" customHeight="1" x14ac:dyDescent="0.25">
      <c r="A1" s="481" t="s">
        <v>401</v>
      </c>
      <c r="B1" s="481" t="s">
        <v>356</v>
      </c>
      <c r="C1" s="481" t="s">
        <v>42</v>
      </c>
      <c r="D1" s="479" t="s">
        <v>389</v>
      </c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 t="s">
        <v>389</v>
      </c>
      <c r="Q1" s="479"/>
      <c r="R1" s="479"/>
      <c r="S1" s="479"/>
      <c r="T1" s="479"/>
      <c r="U1" s="479"/>
      <c r="V1" s="479"/>
      <c r="W1" s="479"/>
      <c r="X1" s="479"/>
      <c r="Y1" s="479" t="s">
        <v>389</v>
      </c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 t="s">
        <v>389</v>
      </c>
      <c r="AL1" s="479"/>
      <c r="AM1" s="479"/>
      <c r="AN1" s="479"/>
      <c r="AO1" s="479"/>
      <c r="AP1" s="479"/>
      <c r="AQ1" s="479"/>
      <c r="AR1" s="479"/>
      <c r="AS1" s="479"/>
      <c r="AT1" s="479" t="s">
        <v>389</v>
      </c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 t="s">
        <v>389</v>
      </c>
      <c r="BG1" s="479"/>
      <c r="BH1" s="479"/>
      <c r="BI1" s="479"/>
      <c r="BJ1" s="479"/>
      <c r="BK1" s="479"/>
      <c r="BL1" s="479"/>
      <c r="BM1" s="479"/>
      <c r="BN1" s="479"/>
      <c r="BO1" s="479" t="s">
        <v>389</v>
      </c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 t="s">
        <v>389</v>
      </c>
      <c r="CB1" s="479"/>
      <c r="CC1" s="479"/>
      <c r="CD1" s="479"/>
      <c r="CE1" s="479"/>
      <c r="CF1" s="479"/>
      <c r="CG1" s="479"/>
      <c r="CH1" s="479"/>
      <c r="CI1" s="479"/>
      <c r="CJ1" s="479" t="s">
        <v>389</v>
      </c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 t="s">
        <v>389</v>
      </c>
      <c r="CW1" s="479"/>
      <c r="CX1" s="479"/>
      <c r="CY1" s="479"/>
      <c r="CZ1" s="479"/>
      <c r="DA1" s="479"/>
      <c r="DB1" s="479"/>
      <c r="DC1" s="479"/>
      <c r="DD1" s="479"/>
    </row>
    <row r="2" spans="1:140" ht="35.25" customHeight="1" x14ac:dyDescent="0.25">
      <c r="A2" s="481"/>
      <c r="B2" s="481"/>
      <c r="C2" s="481"/>
      <c r="D2" s="480" t="s">
        <v>402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0" t="s">
        <v>403</v>
      </c>
      <c r="Q2" s="480"/>
      <c r="R2" s="480"/>
      <c r="S2" s="480"/>
      <c r="T2" s="480"/>
      <c r="U2" s="480"/>
      <c r="V2" s="480"/>
      <c r="W2" s="480"/>
      <c r="X2" s="480"/>
      <c r="Y2" s="480" t="s">
        <v>404</v>
      </c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 t="s">
        <v>405</v>
      </c>
      <c r="AL2" s="480"/>
      <c r="AM2" s="480"/>
      <c r="AN2" s="480"/>
      <c r="AO2" s="480"/>
      <c r="AP2" s="480"/>
      <c r="AQ2" s="480"/>
      <c r="AR2" s="480"/>
      <c r="AS2" s="480"/>
      <c r="AT2" s="480" t="s">
        <v>406</v>
      </c>
      <c r="AU2" s="480"/>
      <c r="AV2" s="480"/>
      <c r="AW2" s="480"/>
      <c r="AX2" s="480"/>
      <c r="AY2" s="480"/>
      <c r="AZ2" s="480"/>
      <c r="BA2" s="480"/>
      <c r="BB2" s="480"/>
      <c r="BC2" s="480"/>
      <c r="BD2" s="480"/>
      <c r="BE2" s="480"/>
      <c r="BF2" s="480" t="s">
        <v>407</v>
      </c>
      <c r="BG2" s="480"/>
      <c r="BH2" s="480"/>
      <c r="BI2" s="480"/>
      <c r="BJ2" s="480"/>
      <c r="BK2" s="480"/>
      <c r="BL2" s="480"/>
      <c r="BM2" s="480"/>
      <c r="BN2" s="480"/>
      <c r="BO2" s="480" t="s">
        <v>408</v>
      </c>
      <c r="BP2" s="480"/>
      <c r="BQ2" s="480"/>
      <c r="BR2" s="480"/>
      <c r="BS2" s="480"/>
      <c r="BT2" s="480"/>
      <c r="BU2" s="480"/>
      <c r="BV2" s="480"/>
      <c r="BW2" s="480"/>
      <c r="BX2" s="480"/>
      <c r="BY2" s="480"/>
      <c r="BZ2" s="480"/>
      <c r="CA2" s="480" t="s">
        <v>398</v>
      </c>
      <c r="CB2" s="480"/>
      <c r="CC2" s="480"/>
      <c r="CD2" s="480"/>
      <c r="CE2" s="480"/>
      <c r="CF2" s="480"/>
      <c r="CG2" s="480"/>
      <c r="CH2" s="480"/>
      <c r="CI2" s="480"/>
      <c r="CJ2" s="480" t="s">
        <v>409</v>
      </c>
      <c r="CK2" s="480"/>
      <c r="CL2" s="480"/>
      <c r="CM2" s="480"/>
      <c r="CN2" s="480"/>
      <c r="CO2" s="480"/>
      <c r="CP2" s="480"/>
      <c r="CQ2" s="480"/>
      <c r="CR2" s="480"/>
      <c r="CS2" s="480"/>
      <c r="CT2" s="480"/>
      <c r="CU2" s="480"/>
      <c r="CV2" s="480" t="s">
        <v>410</v>
      </c>
      <c r="CW2" s="480"/>
      <c r="CX2" s="480"/>
      <c r="CY2" s="480"/>
      <c r="CZ2" s="480"/>
      <c r="DA2" s="480"/>
      <c r="DB2" s="480"/>
      <c r="DC2" s="480"/>
      <c r="DD2" s="480"/>
    </row>
    <row r="3" spans="1:140" ht="15" customHeight="1" x14ac:dyDescent="0.25">
      <c r="A3" s="481"/>
      <c r="B3" s="481"/>
      <c r="C3" s="481"/>
      <c r="D3" s="481" t="s">
        <v>188</v>
      </c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3" t="s">
        <v>193</v>
      </c>
      <c r="Q3" s="483"/>
      <c r="R3" s="483"/>
      <c r="S3" s="483" t="s">
        <v>194</v>
      </c>
      <c r="T3" s="483"/>
      <c r="U3" s="483"/>
      <c r="V3" s="483" t="s">
        <v>195</v>
      </c>
      <c r="W3" s="483"/>
      <c r="X3" s="483"/>
      <c r="Y3" s="482" t="s">
        <v>188</v>
      </c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3" t="s">
        <v>193</v>
      </c>
      <c r="AL3" s="483"/>
      <c r="AM3" s="483"/>
      <c r="AN3" s="483" t="s">
        <v>194</v>
      </c>
      <c r="AO3" s="483"/>
      <c r="AP3" s="483"/>
      <c r="AQ3" s="483" t="s">
        <v>195</v>
      </c>
      <c r="AR3" s="483"/>
      <c r="AS3" s="483"/>
      <c r="AT3" s="481"/>
      <c r="AU3" s="481"/>
      <c r="AV3" s="481"/>
      <c r="AW3" s="482" t="s">
        <v>188</v>
      </c>
      <c r="AX3" s="482"/>
      <c r="AY3" s="482"/>
      <c r="AZ3" s="482"/>
      <c r="BA3" s="482"/>
      <c r="BB3" s="482"/>
      <c r="BC3" s="482"/>
      <c r="BD3" s="482"/>
      <c r="BE3" s="482"/>
      <c r="BF3" s="483" t="s">
        <v>193</v>
      </c>
      <c r="BG3" s="483"/>
      <c r="BH3" s="483"/>
      <c r="BI3" s="483" t="s">
        <v>194</v>
      </c>
      <c r="BJ3" s="483"/>
      <c r="BK3" s="483"/>
      <c r="BL3" s="483" t="s">
        <v>195</v>
      </c>
      <c r="BM3" s="483"/>
      <c r="BN3" s="483"/>
      <c r="BO3" s="481"/>
      <c r="BP3" s="481"/>
      <c r="BQ3" s="481"/>
      <c r="BR3" s="482" t="s">
        <v>188</v>
      </c>
      <c r="BS3" s="482"/>
      <c r="BT3" s="482"/>
      <c r="BU3" s="482"/>
      <c r="BV3" s="482"/>
      <c r="BW3" s="482"/>
      <c r="BX3" s="482"/>
      <c r="BY3" s="482"/>
      <c r="BZ3" s="482"/>
      <c r="CA3" s="483" t="s">
        <v>193</v>
      </c>
      <c r="CB3" s="483"/>
      <c r="CC3" s="483"/>
      <c r="CD3" s="483" t="s">
        <v>194</v>
      </c>
      <c r="CE3" s="483"/>
      <c r="CF3" s="483"/>
      <c r="CG3" s="483" t="s">
        <v>195</v>
      </c>
      <c r="CH3" s="483"/>
      <c r="CI3" s="483"/>
      <c r="CJ3" s="481"/>
      <c r="CK3" s="481"/>
      <c r="CL3" s="481"/>
      <c r="CM3" s="482" t="s">
        <v>188</v>
      </c>
      <c r="CN3" s="482"/>
      <c r="CO3" s="482"/>
      <c r="CP3" s="482"/>
      <c r="CQ3" s="482"/>
      <c r="CR3" s="482"/>
      <c r="CS3" s="482"/>
      <c r="CT3" s="482"/>
      <c r="CU3" s="482"/>
      <c r="CV3" s="483" t="s">
        <v>193</v>
      </c>
      <c r="CW3" s="483"/>
      <c r="CX3" s="483"/>
      <c r="CY3" s="483" t="s">
        <v>194</v>
      </c>
      <c r="CZ3" s="483"/>
      <c r="DA3" s="483"/>
      <c r="DB3" s="483" t="s">
        <v>195</v>
      </c>
      <c r="DC3" s="483"/>
      <c r="DD3" s="483"/>
    </row>
    <row r="4" spans="1:140" ht="15" customHeight="1" x14ac:dyDescent="0.25">
      <c r="A4" s="481"/>
      <c r="B4" s="481"/>
      <c r="C4" s="481"/>
      <c r="D4" s="481" t="s">
        <v>454</v>
      </c>
      <c r="E4" s="481"/>
      <c r="F4" s="481"/>
      <c r="G4" s="484" t="s">
        <v>455</v>
      </c>
      <c r="H4" s="484"/>
      <c r="I4" s="484"/>
      <c r="J4" s="482" t="s">
        <v>6</v>
      </c>
      <c r="K4" s="482"/>
      <c r="L4" s="482"/>
      <c r="M4" s="482"/>
      <c r="N4" s="482"/>
      <c r="O4" s="482"/>
      <c r="P4" s="483"/>
      <c r="Q4" s="483"/>
      <c r="R4" s="483"/>
      <c r="S4" s="483"/>
      <c r="T4" s="483"/>
      <c r="U4" s="483"/>
      <c r="V4" s="483"/>
      <c r="W4" s="483"/>
      <c r="X4" s="483"/>
      <c r="Y4" s="481" t="s">
        <v>456</v>
      </c>
      <c r="Z4" s="481"/>
      <c r="AA4" s="481"/>
      <c r="AB4" s="484" t="s">
        <v>457</v>
      </c>
      <c r="AC4" s="484"/>
      <c r="AD4" s="484"/>
      <c r="AE4" s="482" t="s">
        <v>6</v>
      </c>
      <c r="AF4" s="482"/>
      <c r="AG4" s="482"/>
      <c r="AH4" s="484" t="s">
        <v>397</v>
      </c>
      <c r="AI4" s="484"/>
      <c r="AJ4" s="484"/>
      <c r="AK4" s="483"/>
      <c r="AL4" s="483"/>
      <c r="AM4" s="483"/>
      <c r="AN4" s="483"/>
      <c r="AO4" s="483"/>
      <c r="AP4" s="483"/>
      <c r="AQ4" s="483"/>
      <c r="AR4" s="483"/>
      <c r="AS4" s="483"/>
      <c r="AT4" s="481" t="s">
        <v>458</v>
      </c>
      <c r="AU4" s="481"/>
      <c r="AV4" s="481"/>
      <c r="AW4" s="484" t="s">
        <v>459</v>
      </c>
      <c r="AX4" s="484"/>
      <c r="AY4" s="484"/>
      <c r="AZ4" s="482" t="s">
        <v>6</v>
      </c>
      <c r="BA4" s="482"/>
      <c r="BB4" s="482"/>
      <c r="BC4" s="482"/>
      <c r="BD4" s="482"/>
      <c r="BE4" s="482"/>
      <c r="BF4" s="483"/>
      <c r="BG4" s="483"/>
      <c r="BH4" s="483"/>
      <c r="BI4" s="483"/>
      <c r="BJ4" s="483"/>
      <c r="BK4" s="483"/>
      <c r="BL4" s="483"/>
      <c r="BM4" s="483"/>
      <c r="BN4" s="483"/>
      <c r="BO4" s="481" t="s">
        <v>460</v>
      </c>
      <c r="BP4" s="481"/>
      <c r="BQ4" s="481"/>
      <c r="BR4" s="484" t="s">
        <v>461</v>
      </c>
      <c r="BS4" s="484"/>
      <c r="BT4" s="484"/>
      <c r="BU4" s="482" t="s">
        <v>6</v>
      </c>
      <c r="BV4" s="482"/>
      <c r="BW4" s="482"/>
      <c r="BX4" s="482"/>
      <c r="BY4" s="482"/>
      <c r="BZ4" s="482"/>
      <c r="CA4" s="483"/>
      <c r="CB4" s="483"/>
      <c r="CC4" s="483"/>
      <c r="CD4" s="483"/>
      <c r="CE4" s="483"/>
      <c r="CF4" s="483"/>
      <c r="CG4" s="483"/>
      <c r="CH4" s="483"/>
      <c r="CI4" s="483"/>
      <c r="CJ4" s="481" t="s">
        <v>462</v>
      </c>
      <c r="CK4" s="481"/>
      <c r="CL4" s="481"/>
      <c r="CM4" s="484" t="s">
        <v>453</v>
      </c>
      <c r="CN4" s="484"/>
      <c r="CO4" s="484"/>
      <c r="CP4" s="482" t="s">
        <v>6</v>
      </c>
      <c r="CQ4" s="482"/>
      <c r="CR4" s="482"/>
      <c r="CS4" s="482"/>
      <c r="CT4" s="482"/>
      <c r="CU4" s="482"/>
      <c r="CV4" s="483"/>
      <c r="CW4" s="483"/>
      <c r="CX4" s="483"/>
      <c r="CY4" s="483"/>
      <c r="CZ4" s="483"/>
      <c r="DA4" s="483"/>
      <c r="DB4" s="483"/>
      <c r="DC4" s="483"/>
      <c r="DD4" s="483"/>
    </row>
    <row r="5" spans="1:140" ht="45.75" customHeight="1" x14ac:dyDescent="0.25">
      <c r="A5" s="481"/>
      <c r="B5" s="481"/>
      <c r="C5" s="481"/>
      <c r="D5" s="481"/>
      <c r="E5" s="481"/>
      <c r="F5" s="481"/>
      <c r="G5" s="484"/>
      <c r="H5" s="484"/>
      <c r="I5" s="484"/>
      <c r="J5" s="484" t="s">
        <v>390</v>
      </c>
      <c r="K5" s="484"/>
      <c r="L5" s="484"/>
      <c r="M5" s="484" t="s">
        <v>397</v>
      </c>
      <c r="N5" s="484"/>
      <c r="O5" s="484"/>
      <c r="P5" s="483"/>
      <c r="Q5" s="483"/>
      <c r="R5" s="483"/>
      <c r="S5" s="483" t="s">
        <v>196</v>
      </c>
      <c r="T5" s="483"/>
      <c r="U5" s="483"/>
      <c r="V5" s="483" t="s">
        <v>196</v>
      </c>
      <c r="W5" s="483"/>
      <c r="X5" s="483"/>
      <c r="Y5" s="481"/>
      <c r="Z5" s="481"/>
      <c r="AA5" s="481"/>
      <c r="AB5" s="484"/>
      <c r="AC5" s="484"/>
      <c r="AD5" s="484"/>
      <c r="AE5" s="484" t="s">
        <v>390</v>
      </c>
      <c r="AF5" s="484"/>
      <c r="AG5" s="484"/>
      <c r="AH5" s="484"/>
      <c r="AI5" s="484"/>
      <c r="AJ5" s="484"/>
      <c r="AK5" s="483"/>
      <c r="AL5" s="483"/>
      <c r="AM5" s="483"/>
      <c r="AN5" s="483" t="s">
        <v>196</v>
      </c>
      <c r="AO5" s="483"/>
      <c r="AP5" s="483"/>
      <c r="AQ5" s="483" t="s">
        <v>196</v>
      </c>
      <c r="AR5" s="483"/>
      <c r="AS5" s="483"/>
      <c r="AT5" s="481"/>
      <c r="AU5" s="481"/>
      <c r="AV5" s="481"/>
      <c r="AW5" s="484"/>
      <c r="AX5" s="484"/>
      <c r="AY5" s="484"/>
      <c r="AZ5" s="484" t="s">
        <v>390</v>
      </c>
      <c r="BA5" s="484"/>
      <c r="BB5" s="484"/>
      <c r="BC5" s="484" t="s">
        <v>397</v>
      </c>
      <c r="BD5" s="484"/>
      <c r="BE5" s="484"/>
      <c r="BF5" s="483"/>
      <c r="BG5" s="483"/>
      <c r="BH5" s="483"/>
      <c r="BI5" s="483" t="s">
        <v>196</v>
      </c>
      <c r="BJ5" s="483"/>
      <c r="BK5" s="483"/>
      <c r="BL5" s="483" t="s">
        <v>196</v>
      </c>
      <c r="BM5" s="483"/>
      <c r="BN5" s="483"/>
      <c r="BO5" s="481"/>
      <c r="BP5" s="481"/>
      <c r="BQ5" s="481"/>
      <c r="BR5" s="484"/>
      <c r="BS5" s="484"/>
      <c r="BT5" s="484"/>
      <c r="BU5" s="484" t="s">
        <v>390</v>
      </c>
      <c r="BV5" s="484"/>
      <c r="BW5" s="484"/>
      <c r="BX5" s="484" t="s">
        <v>397</v>
      </c>
      <c r="BY5" s="484"/>
      <c r="BZ5" s="484"/>
      <c r="CA5" s="483"/>
      <c r="CB5" s="483"/>
      <c r="CC5" s="483"/>
      <c r="CD5" s="483" t="s">
        <v>196</v>
      </c>
      <c r="CE5" s="483"/>
      <c r="CF5" s="483"/>
      <c r="CG5" s="483" t="s">
        <v>196</v>
      </c>
      <c r="CH5" s="483"/>
      <c r="CI5" s="483"/>
      <c r="CJ5" s="481"/>
      <c r="CK5" s="481"/>
      <c r="CL5" s="481"/>
      <c r="CM5" s="484"/>
      <c r="CN5" s="484"/>
      <c r="CO5" s="484"/>
      <c r="CP5" s="484" t="s">
        <v>390</v>
      </c>
      <c r="CQ5" s="484"/>
      <c r="CR5" s="484"/>
      <c r="CS5" s="484" t="s">
        <v>397</v>
      </c>
      <c r="CT5" s="484"/>
      <c r="CU5" s="484"/>
      <c r="CV5" s="483"/>
      <c r="CW5" s="483"/>
      <c r="CX5" s="483"/>
      <c r="CY5" s="483" t="s">
        <v>196</v>
      </c>
      <c r="CZ5" s="483"/>
      <c r="DA5" s="483"/>
      <c r="DB5" s="483" t="s">
        <v>196</v>
      </c>
      <c r="DC5" s="483"/>
      <c r="DD5" s="483"/>
    </row>
    <row r="6" spans="1:140" x14ac:dyDescent="0.25">
      <c r="A6" s="481"/>
      <c r="B6" s="481"/>
      <c r="C6" s="481"/>
      <c r="D6" s="462" t="s">
        <v>43</v>
      </c>
      <c r="E6" s="462" t="s">
        <v>44</v>
      </c>
      <c r="F6" s="462" t="s">
        <v>3</v>
      </c>
      <c r="G6" s="462" t="s">
        <v>43</v>
      </c>
      <c r="H6" s="462" t="s">
        <v>44</v>
      </c>
      <c r="I6" s="462" t="s">
        <v>3</v>
      </c>
      <c r="J6" s="462" t="s">
        <v>43</v>
      </c>
      <c r="K6" s="462" t="s">
        <v>44</v>
      </c>
      <c r="L6" s="462" t="s">
        <v>3</v>
      </c>
      <c r="M6" s="462" t="s">
        <v>43</v>
      </c>
      <c r="N6" s="462" t="s">
        <v>44</v>
      </c>
      <c r="O6" s="462" t="s">
        <v>3</v>
      </c>
      <c r="P6" s="382" t="s">
        <v>43</v>
      </c>
      <c r="Q6" s="382" t="s">
        <v>44</v>
      </c>
      <c r="R6" s="382" t="s">
        <v>3</v>
      </c>
      <c r="S6" s="382" t="s">
        <v>43</v>
      </c>
      <c r="T6" s="382" t="s">
        <v>44</v>
      </c>
      <c r="U6" s="382" t="s">
        <v>3</v>
      </c>
      <c r="V6" s="382" t="s">
        <v>43</v>
      </c>
      <c r="W6" s="382" t="s">
        <v>44</v>
      </c>
      <c r="X6" s="382" t="s">
        <v>3</v>
      </c>
      <c r="Y6" s="462" t="s">
        <v>43</v>
      </c>
      <c r="Z6" s="462" t="s">
        <v>44</v>
      </c>
      <c r="AA6" s="462" t="s">
        <v>3</v>
      </c>
      <c r="AB6" s="462" t="s">
        <v>43</v>
      </c>
      <c r="AC6" s="462" t="s">
        <v>44</v>
      </c>
      <c r="AD6" s="462" t="s">
        <v>3</v>
      </c>
      <c r="AE6" s="462" t="s">
        <v>43</v>
      </c>
      <c r="AF6" s="462" t="s">
        <v>44</v>
      </c>
      <c r="AG6" s="462" t="s">
        <v>3</v>
      </c>
      <c r="AH6" s="462" t="s">
        <v>43</v>
      </c>
      <c r="AI6" s="462" t="s">
        <v>44</v>
      </c>
      <c r="AJ6" s="462" t="s">
        <v>3</v>
      </c>
      <c r="AK6" s="382" t="s">
        <v>43</v>
      </c>
      <c r="AL6" s="382" t="s">
        <v>44</v>
      </c>
      <c r="AM6" s="382" t="s">
        <v>3</v>
      </c>
      <c r="AN6" s="382" t="s">
        <v>43</v>
      </c>
      <c r="AO6" s="382" t="s">
        <v>44</v>
      </c>
      <c r="AP6" s="382" t="s">
        <v>3</v>
      </c>
      <c r="AQ6" s="382" t="s">
        <v>43</v>
      </c>
      <c r="AR6" s="382" t="s">
        <v>44</v>
      </c>
      <c r="AS6" s="382" t="s">
        <v>3</v>
      </c>
      <c r="AT6" s="462" t="s">
        <v>43</v>
      </c>
      <c r="AU6" s="462" t="s">
        <v>44</v>
      </c>
      <c r="AV6" s="462" t="s">
        <v>3</v>
      </c>
      <c r="AW6" s="462" t="s">
        <v>43</v>
      </c>
      <c r="AX6" s="462" t="s">
        <v>44</v>
      </c>
      <c r="AY6" s="462" t="s">
        <v>3</v>
      </c>
      <c r="AZ6" s="462" t="s">
        <v>43</v>
      </c>
      <c r="BA6" s="462" t="s">
        <v>44</v>
      </c>
      <c r="BB6" s="462" t="s">
        <v>3</v>
      </c>
      <c r="BC6" s="462" t="s">
        <v>43</v>
      </c>
      <c r="BD6" s="462" t="s">
        <v>44</v>
      </c>
      <c r="BE6" s="462" t="s">
        <v>3</v>
      </c>
      <c r="BF6" s="382" t="s">
        <v>43</v>
      </c>
      <c r="BG6" s="382" t="s">
        <v>44</v>
      </c>
      <c r="BH6" s="382" t="s">
        <v>3</v>
      </c>
      <c r="BI6" s="382" t="s">
        <v>43</v>
      </c>
      <c r="BJ6" s="382" t="s">
        <v>44</v>
      </c>
      <c r="BK6" s="382" t="s">
        <v>3</v>
      </c>
      <c r="BL6" s="382" t="s">
        <v>43</v>
      </c>
      <c r="BM6" s="382" t="s">
        <v>44</v>
      </c>
      <c r="BN6" s="382" t="s">
        <v>3</v>
      </c>
      <c r="BO6" s="462" t="s">
        <v>43</v>
      </c>
      <c r="BP6" s="462" t="s">
        <v>44</v>
      </c>
      <c r="BQ6" s="462" t="s">
        <v>3</v>
      </c>
      <c r="BR6" s="462" t="s">
        <v>43</v>
      </c>
      <c r="BS6" s="462" t="s">
        <v>44</v>
      </c>
      <c r="BT6" s="462" t="s">
        <v>3</v>
      </c>
      <c r="BU6" s="462" t="s">
        <v>43</v>
      </c>
      <c r="BV6" s="462" t="s">
        <v>44</v>
      </c>
      <c r="BW6" s="462" t="s">
        <v>3</v>
      </c>
      <c r="BX6" s="462" t="s">
        <v>43</v>
      </c>
      <c r="BY6" s="462" t="s">
        <v>44</v>
      </c>
      <c r="BZ6" s="462" t="s">
        <v>3</v>
      </c>
      <c r="CA6" s="382" t="s">
        <v>43</v>
      </c>
      <c r="CB6" s="382" t="s">
        <v>44</v>
      </c>
      <c r="CC6" s="382" t="s">
        <v>3</v>
      </c>
      <c r="CD6" s="382" t="s">
        <v>43</v>
      </c>
      <c r="CE6" s="382" t="s">
        <v>44</v>
      </c>
      <c r="CF6" s="382" t="s">
        <v>3</v>
      </c>
      <c r="CG6" s="382" t="s">
        <v>43</v>
      </c>
      <c r="CH6" s="382" t="s">
        <v>44</v>
      </c>
      <c r="CI6" s="382" t="s">
        <v>3</v>
      </c>
      <c r="CJ6" s="462" t="s">
        <v>43</v>
      </c>
      <c r="CK6" s="462" t="s">
        <v>44</v>
      </c>
      <c r="CL6" s="462" t="s">
        <v>3</v>
      </c>
      <c r="CM6" s="462" t="s">
        <v>43</v>
      </c>
      <c r="CN6" s="462" t="s">
        <v>44</v>
      </c>
      <c r="CO6" s="462" t="s">
        <v>3</v>
      </c>
      <c r="CP6" s="462" t="s">
        <v>43</v>
      </c>
      <c r="CQ6" s="462" t="s">
        <v>44</v>
      </c>
      <c r="CR6" s="462" t="s">
        <v>3</v>
      </c>
      <c r="CS6" s="462" t="s">
        <v>43</v>
      </c>
      <c r="CT6" s="462" t="s">
        <v>44</v>
      </c>
      <c r="CU6" s="462" t="s">
        <v>3</v>
      </c>
      <c r="CV6" s="382" t="s">
        <v>43</v>
      </c>
      <c r="CW6" s="382" t="s">
        <v>44</v>
      </c>
      <c r="CX6" s="382" t="s">
        <v>3</v>
      </c>
      <c r="CY6" s="382" t="s">
        <v>43</v>
      </c>
      <c r="CZ6" s="382" t="s">
        <v>44</v>
      </c>
      <c r="DA6" s="382" t="s">
        <v>3</v>
      </c>
      <c r="DB6" s="382" t="s">
        <v>43</v>
      </c>
      <c r="DC6" s="382" t="s">
        <v>44</v>
      </c>
      <c r="DD6" s="382" t="s">
        <v>3</v>
      </c>
    </row>
    <row r="7" spans="1:140" ht="37.5" customHeight="1" x14ac:dyDescent="0.25">
      <c r="A7" s="423">
        <v>1</v>
      </c>
      <c r="B7" s="486" t="s">
        <v>357</v>
      </c>
      <c r="C7" s="424" t="s">
        <v>143</v>
      </c>
      <c r="D7" s="392">
        <v>1216581</v>
      </c>
      <c r="E7" s="392">
        <v>892607</v>
      </c>
      <c r="F7" s="392">
        <v>2109188</v>
      </c>
      <c r="G7" s="392">
        <v>1206578</v>
      </c>
      <c r="H7" s="392">
        <v>887380</v>
      </c>
      <c r="I7" s="392">
        <v>2093958</v>
      </c>
      <c r="J7" s="392">
        <v>1131793</v>
      </c>
      <c r="K7" s="392">
        <v>844857</v>
      </c>
      <c r="L7" s="392">
        <v>1976650</v>
      </c>
      <c r="M7" s="389">
        <v>0.93801892625259209</v>
      </c>
      <c r="N7" s="389">
        <v>0.95208028127746847</v>
      </c>
      <c r="O7" s="389">
        <v>0.94397786393041316</v>
      </c>
      <c r="P7" s="388">
        <v>1131793</v>
      </c>
      <c r="Q7" s="388">
        <v>844857</v>
      </c>
      <c r="R7" s="388">
        <v>1976650</v>
      </c>
      <c r="S7" s="388">
        <v>770809</v>
      </c>
      <c r="T7" s="388">
        <v>651816</v>
      </c>
      <c r="U7" s="388">
        <v>1422625</v>
      </c>
      <c r="V7" s="389">
        <v>0.68105121696281923</v>
      </c>
      <c r="W7" s="389">
        <v>0.77151044496287535</v>
      </c>
      <c r="X7" s="389">
        <v>0.71971517466420454</v>
      </c>
      <c r="Y7" s="391">
        <v>148943</v>
      </c>
      <c r="Z7" s="391">
        <v>149413</v>
      </c>
      <c r="AA7" s="391">
        <v>298356</v>
      </c>
      <c r="AB7" s="391">
        <v>147132</v>
      </c>
      <c r="AC7" s="391">
        <v>147768</v>
      </c>
      <c r="AD7" s="391">
        <v>294900</v>
      </c>
      <c r="AE7" s="391">
        <v>114403</v>
      </c>
      <c r="AF7" s="391">
        <v>123528</v>
      </c>
      <c r="AG7" s="391">
        <v>237931</v>
      </c>
      <c r="AH7" s="389">
        <v>0.77755348938368263</v>
      </c>
      <c r="AI7" s="389">
        <v>0.83595907097612476</v>
      </c>
      <c r="AJ7" s="389">
        <v>0.80681926076636146</v>
      </c>
      <c r="AK7" s="391">
        <v>114403</v>
      </c>
      <c r="AL7" s="391">
        <v>123528</v>
      </c>
      <c r="AM7" s="391">
        <v>237931</v>
      </c>
      <c r="AN7" s="391">
        <v>39082</v>
      </c>
      <c r="AO7" s="391">
        <v>52417</v>
      </c>
      <c r="AP7" s="391">
        <v>91499</v>
      </c>
      <c r="AQ7" s="389">
        <v>0.34161691564032409</v>
      </c>
      <c r="AR7" s="389">
        <v>0.42433294475746391</v>
      </c>
      <c r="AS7" s="389">
        <v>0.38456107022624209</v>
      </c>
      <c r="AT7" s="391">
        <v>10404</v>
      </c>
      <c r="AU7" s="391">
        <v>9053</v>
      </c>
      <c r="AV7" s="391">
        <v>19457</v>
      </c>
      <c r="AW7" s="391">
        <v>10317</v>
      </c>
      <c r="AX7" s="391">
        <v>9008</v>
      </c>
      <c r="AY7" s="391">
        <v>19325</v>
      </c>
      <c r="AZ7" s="391">
        <v>7584</v>
      </c>
      <c r="BA7" s="391">
        <v>7244</v>
      </c>
      <c r="BB7" s="391">
        <v>14828</v>
      </c>
      <c r="BC7" s="389">
        <v>0.7350974120383833</v>
      </c>
      <c r="BD7" s="389">
        <v>0.80417406749555953</v>
      </c>
      <c r="BE7" s="389">
        <v>0.76729624838292365</v>
      </c>
      <c r="BF7" s="391">
        <v>7584</v>
      </c>
      <c r="BG7" s="391">
        <v>7244</v>
      </c>
      <c r="BH7" s="391">
        <v>14828</v>
      </c>
      <c r="BI7" s="391">
        <v>3077</v>
      </c>
      <c r="BJ7" s="391">
        <v>4112</v>
      </c>
      <c r="BK7" s="391">
        <v>7189</v>
      </c>
      <c r="BL7" s="389">
        <v>0.40572257383966243</v>
      </c>
      <c r="BM7" s="389">
        <v>0.56764218663721699</v>
      </c>
      <c r="BN7" s="389">
        <v>0.48482600485567845</v>
      </c>
      <c r="BO7" s="391">
        <v>966180</v>
      </c>
      <c r="BP7" s="391">
        <v>662643</v>
      </c>
      <c r="BQ7" s="391">
        <v>1628823</v>
      </c>
      <c r="BR7" s="391">
        <v>958721</v>
      </c>
      <c r="BS7" s="391">
        <v>659497</v>
      </c>
      <c r="BT7" s="391">
        <v>1618218</v>
      </c>
      <c r="BU7" s="391">
        <v>922663</v>
      </c>
      <c r="BV7" s="391">
        <v>644824</v>
      </c>
      <c r="BW7" s="391">
        <v>1567487</v>
      </c>
      <c r="BX7" s="389">
        <v>0.96238947514448936</v>
      </c>
      <c r="BY7" s="389">
        <v>0.97775122555523375</v>
      </c>
      <c r="BZ7" s="389">
        <v>0.96865008299252631</v>
      </c>
      <c r="CA7" s="391">
        <v>922663</v>
      </c>
      <c r="CB7" s="391">
        <v>644824</v>
      </c>
      <c r="CC7" s="391">
        <v>1567487</v>
      </c>
      <c r="CD7" s="391">
        <v>664277</v>
      </c>
      <c r="CE7" s="391">
        <v>538698</v>
      </c>
      <c r="CF7" s="391">
        <v>1202975</v>
      </c>
      <c r="CG7" s="389">
        <v>0.7199562570515996</v>
      </c>
      <c r="CH7" s="389">
        <v>0.83541865687381367</v>
      </c>
      <c r="CI7" s="389">
        <v>0.76745453072338077</v>
      </c>
      <c r="CJ7" s="391">
        <v>91054</v>
      </c>
      <c r="CK7" s="391">
        <v>71498</v>
      </c>
      <c r="CL7" s="391">
        <v>162552</v>
      </c>
      <c r="CM7" s="391">
        <v>90408</v>
      </c>
      <c r="CN7" s="391">
        <v>71107</v>
      </c>
      <c r="CO7" s="391">
        <v>161515</v>
      </c>
      <c r="CP7" s="391">
        <v>87143</v>
      </c>
      <c r="CQ7" s="391">
        <v>69261</v>
      </c>
      <c r="CR7" s="391">
        <v>156404</v>
      </c>
      <c r="CS7" s="389">
        <v>0.96388593929740729</v>
      </c>
      <c r="CT7" s="389">
        <v>0.97403912413686411</v>
      </c>
      <c r="CU7" s="389">
        <v>0.96835588025879948</v>
      </c>
      <c r="CV7" s="391">
        <v>87143</v>
      </c>
      <c r="CW7" s="391">
        <v>69261</v>
      </c>
      <c r="CX7" s="391">
        <v>156404</v>
      </c>
      <c r="CY7" s="391">
        <v>64373</v>
      </c>
      <c r="CZ7" s="391">
        <v>56589</v>
      </c>
      <c r="DA7" s="391">
        <v>120962</v>
      </c>
      <c r="DB7" s="389">
        <v>0.73870534638467811</v>
      </c>
      <c r="DC7" s="389">
        <v>0.81703989258024001</v>
      </c>
      <c r="DD7" s="389">
        <v>0.77339454233907057</v>
      </c>
    </row>
    <row r="8" spans="1:140" ht="46.5" customHeight="1" x14ac:dyDescent="0.25">
      <c r="A8" s="423">
        <v>2</v>
      </c>
      <c r="B8" s="486"/>
      <c r="C8" s="424" t="s">
        <v>215</v>
      </c>
      <c r="D8" s="392">
        <v>126001</v>
      </c>
      <c r="E8" s="392">
        <v>105452</v>
      </c>
      <c r="F8" s="392">
        <v>231453</v>
      </c>
      <c r="G8" s="392">
        <v>125677</v>
      </c>
      <c r="H8" s="392">
        <v>105385</v>
      </c>
      <c r="I8" s="392">
        <v>231062</v>
      </c>
      <c r="J8" s="392">
        <v>125636</v>
      </c>
      <c r="K8" s="392">
        <v>105369</v>
      </c>
      <c r="L8" s="392">
        <v>231005</v>
      </c>
      <c r="M8" s="389">
        <v>0.99967376687858556</v>
      </c>
      <c r="N8" s="389">
        <v>0.99984817573658491</v>
      </c>
      <c r="O8" s="389">
        <v>0.99975331296362013</v>
      </c>
      <c r="P8" s="388">
        <v>125636</v>
      </c>
      <c r="Q8" s="388">
        <v>105369</v>
      </c>
      <c r="R8" s="388">
        <v>231005</v>
      </c>
      <c r="S8" s="388">
        <v>117032</v>
      </c>
      <c r="T8" s="388">
        <v>101315</v>
      </c>
      <c r="U8" s="388">
        <v>218347</v>
      </c>
      <c r="V8" s="389">
        <v>0.93151644433124259</v>
      </c>
      <c r="W8" s="389">
        <v>0.96152568592280463</v>
      </c>
      <c r="X8" s="389">
        <v>0.94520464925001624</v>
      </c>
      <c r="Y8" s="391">
        <v>227</v>
      </c>
      <c r="Z8" s="391">
        <v>373</v>
      </c>
      <c r="AA8" s="391">
        <v>600</v>
      </c>
      <c r="AB8" s="391">
        <v>227</v>
      </c>
      <c r="AC8" s="391">
        <v>373</v>
      </c>
      <c r="AD8" s="391">
        <v>600</v>
      </c>
      <c r="AE8" s="391">
        <v>227</v>
      </c>
      <c r="AF8" s="391">
        <v>372</v>
      </c>
      <c r="AG8" s="391">
        <v>599</v>
      </c>
      <c r="AH8" s="389">
        <v>1</v>
      </c>
      <c r="AI8" s="389">
        <v>0.99731903485254692</v>
      </c>
      <c r="AJ8" s="389">
        <v>0.99833333333333329</v>
      </c>
      <c r="AK8" s="391">
        <v>227</v>
      </c>
      <c r="AL8" s="391">
        <v>372</v>
      </c>
      <c r="AM8" s="391">
        <v>599</v>
      </c>
      <c r="AN8" s="391">
        <v>172</v>
      </c>
      <c r="AO8" s="391">
        <v>325</v>
      </c>
      <c r="AP8" s="391">
        <v>497</v>
      </c>
      <c r="AQ8" s="389">
        <v>0.75770925110132159</v>
      </c>
      <c r="AR8" s="389">
        <v>0.87365591397849462</v>
      </c>
      <c r="AS8" s="389">
        <v>0.8297161936560935</v>
      </c>
      <c r="AT8" s="391">
        <v>351</v>
      </c>
      <c r="AU8" s="391">
        <v>392</v>
      </c>
      <c r="AV8" s="391">
        <v>743</v>
      </c>
      <c r="AW8" s="391">
        <v>350</v>
      </c>
      <c r="AX8" s="391">
        <v>392</v>
      </c>
      <c r="AY8" s="391">
        <v>742</v>
      </c>
      <c r="AZ8" s="391">
        <v>350</v>
      </c>
      <c r="BA8" s="391">
        <v>392</v>
      </c>
      <c r="BB8" s="391">
        <v>742</v>
      </c>
      <c r="BC8" s="389">
        <v>1</v>
      </c>
      <c r="BD8" s="389">
        <v>1</v>
      </c>
      <c r="BE8" s="389">
        <v>1</v>
      </c>
      <c r="BF8" s="391">
        <v>350</v>
      </c>
      <c r="BG8" s="391">
        <v>392</v>
      </c>
      <c r="BH8" s="391">
        <v>742</v>
      </c>
      <c r="BI8" s="391">
        <v>267</v>
      </c>
      <c r="BJ8" s="391">
        <v>356</v>
      </c>
      <c r="BK8" s="391">
        <v>623</v>
      </c>
      <c r="BL8" s="389">
        <v>0.7628571428571429</v>
      </c>
      <c r="BM8" s="389">
        <v>0.90816326530612246</v>
      </c>
      <c r="BN8" s="389">
        <v>0.839622641509434</v>
      </c>
      <c r="BO8" s="391">
        <v>125423</v>
      </c>
      <c r="BP8" s="391">
        <v>104687</v>
      </c>
      <c r="BQ8" s="391">
        <v>230110</v>
      </c>
      <c r="BR8" s="391">
        <v>125100</v>
      </c>
      <c r="BS8" s="391">
        <v>104620</v>
      </c>
      <c r="BT8" s="391">
        <v>229720</v>
      </c>
      <c r="BU8" s="391">
        <v>125059</v>
      </c>
      <c r="BV8" s="391">
        <v>104605</v>
      </c>
      <c r="BW8" s="391">
        <v>229664</v>
      </c>
      <c r="BX8" s="389">
        <v>0.99967226219024785</v>
      </c>
      <c r="BY8" s="389">
        <v>0.99985662397247177</v>
      </c>
      <c r="BZ8" s="389">
        <v>0.9997562249695281</v>
      </c>
      <c r="CA8" s="391">
        <v>125059</v>
      </c>
      <c r="CB8" s="391">
        <v>104605</v>
      </c>
      <c r="CC8" s="391">
        <v>229664</v>
      </c>
      <c r="CD8" s="391">
        <v>116593</v>
      </c>
      <c r="CE8" s="391">
        <v>100634</v>
      </c>
      <c r="CF8" s="391">
        <v>217227</v>
      </c>
      <c r="CG8" s="389">
        <v>0.93230395253440379</v>
      </c>
      <c r="CH8" s="389">
        <v>0.96203814349218486</v>
      </c>
      <c r="CI8" s="389">
        <v>0.94584697645255678</v>
      </c>
      <c r="CJ8" s="390"/>
      <c r="CK8" s="390"/>
      <c r="CL8" s="390"/>
      <c r="CM8" s="390"/>
      <c r="CN8" s="390"/>
      <c r="CO8" s="390"/>
      <c r="CP8" s="390"/>
      <c r="CQ8" s="390"/>
      <c r="CR8" s="390"/>
      <c r="CS8" s="390"/>
      <c r="CT8" s="390"/>
      <c r="CU8" s="390"/>
      <c r="CV8" s="390"/>
      <c r="CW8" s="390"/>
      <c r="CX8" s="390"/>
      <c r="CY8" s="390"/>
      <c r="CZ8" s="390"/>
      <c r="DA8" s="390"/>
      <c r="DB8" s="390"/>
      <c r="DC8" s="390"/>
      <c r="DD8" s="390"/>
    </row>
    <row r="9" spans="1:140" s="376" customFormat="1" ht="44.25" customHeight="1" x14ac:dyDescent="0.25">
      <c r="A9" s="423">
        <v>3</v>
      </c>
      <c r="B9" s="461" t="s">
        <v>358</v>
      </c>
      <c r="C9" s="424" t="s">
        <v>133</v>
      </c>
      <c r="D9" s="392">
        <v>319371</v>
      </c>
      <c r="E9" s="392">
        <v>301626</v>
      </c>
      <c r="F9" s="392">
        <v>620997</v>
      </c>
      <c r="G9" s="392">
        <v>316913</v>
      </c>
      <c r="H9" s="392">
        <v>299200</v>
      </c>
      <c r="I9" s="391">
        <v>616113</v>
      </c>
      <c r="J9" s="392">
        <v>274129</v>
      </c>
      <c r="K9" s="392">
        <v>272043</v>
      </c>
      <c r="L9" s="392">
        <v>546172</v>
      </c>
      <c r="M9" s="389">
        <v>0.86499764919709821</v>
      </c>
      <c r="N9" s="389">
        <v>0.90923462566844915</v>
      </c>
      <c r="O9" s="389">
        <v>0.88648023982613577</v>
      </c>
      <c r="P9" s="388">
        <v>274129</v>
      </c>
      <c r="Q9" s="388">
        <v>272043</v>
      </c>
      <c r="R9" s="388">
        <v>546172</v>
      </c>
      <c r="S9" s="388">
        <v>162162</v>
      </c>
      <c r="T9" s="388">
        <v>184986</v>
      </c>
      <c r="U9" s="388">
        <v>347148</v>
      </c>
      <c r="V9" s="389">
        <v>0.59155361162080622</v>
      </c>
      <c r="W9" s="389">
        <v>0.67998809011810635</v>
      </c>
      <c r="X9" s="389">
        <v>0.6356019715401009</v>
      </c>
      <c r="Y9" s="391">
        <v>193039</v>
      </c>
      <c r="Z9" s="391">
        <v>201422</v>
      </c>
      <c r="AA9" s="391">
        <v>394461</v>
      </c>
      <c r="AB9" s="391">
        <v>191122</v>
      </c>
      <c r="AC9" s="391">
        <v>199410</v>
      </c>
      <c r="AD9" s="391">
        <v>390532</v>
      </c>
      <c r="AE9" s="391">
        <v>152985</v>
      </c>
      <c r="AF9" s="391">
        <v>174441</v>
      </c>
      <c r="AG9" s="391">
        <v>327426</v>
      </c>
      <c r="AH9" s="389">
        <v>0.80045729952595723</v>
      </c>
      <c r="AI9" s="389">
        <v>0.87478561757183693</v>
      </c>
      <c r="AJ9" s="389">
        <v>0.83841016869296237</v>
      </c>
      <c r="AK9" s="391">
        <v>152985</v>
      </c>
      <c r="AL9" s="391">
        <v>174441</v>
      </c>
      <c r="AM9" s="391">
        <v>327426</v>
      </c>
      <c r="AN9" s="391">
        <v>67351</v>
      </c>
      <c r="AO9" s="391">
        <v>100201</v>
      </c>
      <c r="AP9" s="391">
        <v>167552</v>
      </c>
      <c r="AQ9" s="389">
        <v>0.44024577572964668</v>
      </c>
      <c r="AR9" s="389">
        <v>0.57441197883525086</v>
      </c>
      <c r="AS9" s="389">
        <v>0.51172478666935428</v>
      </c>
      <c r="AT9" s="391">
        <v>6833</v>
      </c>
      <c r="AU9" s="391">
        <v>8331</v>
      </c>
      <c r="AV9" s="391">
        <v>15164</v>
      </c>
      <c r="AW9" s="391">
        <v>6675</v>
      </c>
      <c r="AX9" s="391">
        <v>8188</v>
      </c>
      <c r="AY9" s="391">
        <v>14863</v>
      </c>
      <c r="AZ9" s="391">
        <v>4836</v>
      </c>
      <c r="BA9" s="391">
        <v>6730</v>
      </c>
      <c r="BB9" s="391">
        <v>11566</v>
      </c>
      <c r="BC9" s="389">
        <v>0.72449438202247196</v>
      </c>
      <c r="BD9" s="389">
        <v>0.82193453834880315</v>
      </c>
      <c r="BE9" s="389">
        <v>0.77817398910045077</v>
      </c>
      <c r="BF9" s="391">
        <v>4836</v>
      </c>
      <c r="BG9" s="391">
        <v>6730</v>
      </c>
      <c r="BH9" s="391">
        <v>11566</v>
      </c>
      <c r="BI9" s="391">
        <v>1921</v>
      </c>
      <c r="BJ9" s="391">
        <v>3552</v>
      </c>
      <c r="BK9" s="391">
        <v>5473</v>
      </c>
      <c r="BL9" s="389">
        <v>0.39722911497105046</v>
      </c>
      <c r="BM9" s="389">
        <v>0.52778603268945024</v>
      </c>
      <c r="BN9" s="389">
        <v>0.47319730243818087</v>
      </c>
      <c r="BO9" s="391">
        <v>119499</v>
      </c>
      <c r="BP9" s="391">
        <v>91873</v>
      </c>
      <c r="BQ9" s="391">
        <v>211372</v>
      </c>
      <c r="BR9" s="391">
        <v>119116</v>
      </c>
      <c r="BS9" s="391">
        <v>91602</v>
      </c>
      <c r="BT9" s="391">
        <v>210718</v>
      </c>
      <c r="BU9" s="391">
        <v>116308</v>
      </c>
      <c r="BV9" s="391">
        <v>90872</v>
      </c>
      <c r="BW9" s="391">
        <v>207180</v>
      </c>
      <c r="BX9" s="389">
        <v>0.9764263407098962</v>
      </c>
      <c r="BY9" s="389">
        <v>0.99203074168686278</v>
      </c>
      <c r="BZ9" s="389">
        <v>0.98320978748849175</v>
      </c>
      <c r="CA9" s="391">
        <v>116308</v>
      </c>
      <c r="CB9" s="391">
        <v>90872</v>
      </c>
      <c r="CC9" s="391">
        <v>207180</v>
      </c>
      <c r="CD9" s="391">
        <v>92890</v>
      </c>
      <c r="CE9" s="391">
        <v>81233</v>
      </c>
      <c r="CF9" s="391">
        <v>174123</v>
      </c>
      <c r="CG9" s="389">
        <v>0.79865529456271278</v>
      </c>
      <c r="CH9" s="389">
        <v>0.89392772251078445</v>
      </c>
      <c r="CI9" s="389">
        <v>0.84044309296264119</v>
      </c>
      <c r="CJ9" s="390"/>
      <c r="CK9" s="390"/>
      <c r="CL9" s="390"/>
      <c r="CM9" s="390"/>
      <c r="CN9" s="390"/>
      <c r="CO9" s="390"/>
      <c r="CP9" s="390"/>
      <c r="CQ9" s="390"/>
      <c r="CR9" s="390"/>
      <c r="CS9" s="390"/>
      <c r="CT9" s="390"/>
      <c r="CU9" s="390"/>
      <c r="CV9" s="390"/>
      <c r="CW9" s="390"/>
      <c r="CX9" s="390"/>
      <c r="CY9" s="390"/>
      <c r="CZ9" s="390"/>
      <c r="DA9" s="390"/>
      <c r="DB9" s="390"/>
      <c r="DC9" s="390"/>
      <c r="DD9" s="390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H9"/>
      <c r="EI9"/>
      <c r="EJ9"/>
    </row>
    <row r="10" spans="1:140" ht="35.25" customHeight="1" x14ac:dyDescent="0.25">
      <c r="A10" s="423">
        <v>4</v>
      </c>
      <c r="B10" s="486" t="s">
        <v>360</v>
      </c>
      <c r="C10" s="424" t="s">
        <v>134</v>
      </c>
      <c r="D10" s="392">
        <v>199378</v>
      </c>
      <c r="E10" s="392">
        <v>231754</v>
      </c>
      <c r="F10" s="392">
        <v>431132</v>
      </c>
      <c r="G10" s="392">
        <v>192440</v>
      </c>
      <c r="H10" s="392">
        <v>223596</v>
      </c>
      <c r="I10" s="392">
        <v>416036</v>
      </c>
      <c r="J10" s="392">
        <v>118847</v>
      </c>
      <c r="K10" s="392">
        <v>129126</v>
      </c>
      <c r="L10" s="392">
        <v>247973</v>
      </c>
      <c r="M10" s="389">
        <v>0.61757950530035333</v>
      </c>
      <c r="N10" s="389">
        <v>0.57749691407717485</v>
      </c>
      <c r="O10" s="389">
        <v>0.59603736215135228</v>
      </c>
      <c r="P10" s="388">
        <v>118847</v>
      </c>
      <c r="Q10" s="388">
        <v>129126</v>
      </c>
      <c r="R10" s="388">
        <v>247973</v>
      </c>
      <c r="S10" s="388">
        <v>31972</v>
      </c>
      <c r="T10" s="388">
        <v>34198</v>
      </c>
      <c r="U10" s="388">
        <v>66170</v>
      </c>
      <c r="V10" s="389">
        <v>0.26901814938534419</v>
      </c>
      <c r="W10" s="389">
        <v>0.26484209222000216</v>
      </c>
      <c r="X10" s="389">
        <v>0.26684356764647765</v>
      </c>
      <c r="Y10" s="391">
        <v>110144</v>
      </c>
      <c r="Z10" s="391">
        <v>133960</v>
      </c>
      <c r="AA10" s="391">
        <v>244104</v>
      </c>
      <c r="AB10" s="391">
        <v>107262</v>
      </c>
      <c r="AC10" s="391">
        <v>129886</v>
      </c>
      <c r="AD10" s="391">
        <v>237148</v>
      </c>
      <c r="AE10" s="391">
        <v>61986</v>
      </c>
      <c r="AF10" s="391">
        <v>72124</v>
      </c>
      <c r="AG10" s="391">
        <v>134110</v>
      </c>
      <c r="AH10" s="389">
        <v>0.57789338255859479</v>
      </c>
      <c r="AI10" s="389">
        <v>0.55528694393545108</v>
      </c>
      <c r="AJ10" s="389">
        <v>0.56551183227351698</v>
      </c>
      <c r="AK10" s="391">
        <v>61986</v>
      </c>
      <c r="AL10" s="391">
        <v>72124</v>
      </c>
      <c r="AM10" s="391">
        <v>134110</v>
      </c>
      <c r="AN10" s="391">
        <v>12629</v>
      </c>
      <c r="AO10" s="391">
        <v>14889</v>
      </c>
      <c r="AP10" s="391">
        <v>27518</v>
      </c>
      <c r="AQ10" s="389">
        <v>0.20373955409285968</v>
      </c>
      <c r="AR10" s="389">
        <v>0.20643613776274194</v>
      </c>
      <c r="AS10" s="389">
        <v>0.20518976959212587</v>
      </c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  <c r="BD10" s="390"/>
      <c r="BE10" s="390"/>
      <c r="BF10" s="390"/>
      <c r="BG10" s="390"/>
      <c r="BH10" s="390"/>
      <c r="BI10" s="390"/>
      <c r="BJ10" s="390"/>
      <c r="BK10" s="390"/>
      <c r="BL10" s="390"/>
      <c r="BM10" s="390"/>
      <c r="BN10" s="390"/>
      <c r="BO10" s="390"/>
      <c r="BP10" s="390"/>
      <c r="BQ10" s="390"/>
      <c r="BR10" s="390"/>
      <c r="BS10" s="390"/>
      <c r="BT10" s="390"/>
      <c r="BU10" s="390"/>
      <c r="BV10" s="390"/>
      <c r="BW10" s="390"/>
      <c r="BX10" s="390"/>
      <c r="BY10" s="390"/>
      <c r="BZ10" s="390"/>
      <c r="CA10" s="390"/>
      <c r="CB10" s="390"/>
      <c r="CC10" s="390"/>
      <c r="CD10" s="390"/>
      <c r="CE10" s="390"/>
      <c r="CF10" s="390"/>
      <c r="CG10" s="390"/>
      <c r="CH10" s="390"/>
      <c r="CI10" s="390"/>
      <c r="CJ10" s="390"/>
      <c r="CK10" s="390"/>
      <c r="CL10" s="390"/>
      <c r="CM10" s="390"/>
      <c r="CN10" s="390"/>
      <c r="CO10" s="390"/>
      <c r="CP10" s="390"/>
      <c r="CQ10" s="390"/>
      <c r="CR10" s="390"/>
      <c r="CS10" s="390"/>
      <c r="CT10" s="390"/>
      <c r="CU10" s="390"/>
      <c r="CV10" s="390"/>
      <c r="CW10" s="390"/>
      <c r="CX10" s="390"/>
      <c r="CY10" s="390"/>
      <c r="CZ10" s="390"/>
      <c r="DA10" s="390"/>
      <c r="DB10" s="390"/>
      <c r="DC10" s="390"/>
      <c r="DD10" s="390"/>
    </row>
    <row r="11" spans="1:140" s="362" customFormat="1" ht="39.75" customHeight="1" x14ac:dyDescent="0.25">
      <c r="A11" s="423">
        <v>5</v>
      </c>
      <c r="B11" s="486"/>
      <c r="C11" s="424" t="s">
        <v>355</v>
      </c>
      <c r="D11" s="392">
        <v>2167</v>
      </c>
      <c r="E11" s="392">
        <v>2567</v>
      </c>
      <c r="F11" s="392">
        <v>4734</v>
      </c>
      <c r="G11" s="392">
        <v>2167</v>
      </c>
      <c r="H11" s="392">
        <v>2567</v>
      </c>
      <c r="I11" s="392">
        <v>4734</v>
      </c>
      <c r="J11" s="392">
        <v>1555</v>
      </c>
      <c r="K11" s="392">
        <v>1708</v>
      </c>
      <c r="L11" s="392">
        <v>3263</v>
      </c>
      <c r="M11" s="389">
        <v>0.7175819104753115</v>
      </c>
      <c r="N11" s="389">
        <v>0.66536813400857031</v>
      </c>
      <c r="O11" s="389">
        <v>0.68926911702577098</v>
      </c>
      <c r="P11" s="388">
        <v>1555</v>
      </c>
      <c r="Q11" s="388">
        <v>1708</v>
      </c>
      <c r="R11" s="388">
        <v>3263</v>
      </c>
      <c r="S11" s="388">
        <v>276</v>
      </c>
      <c r="T11" s="388">
        <v>253</v>
      </c>
      <c r="U11" s="388">
        <v>529</v>
      </c>
      <c r="V11" s="389">
        <v>0.17749196141479098</v>
      </c>
      <c r="W11" s="389">
        <v>0.14812646370023419</v>
      </c>
      <c r="X11" s="389">
        <v>0.1621207477781183</v>
      </c>
      <c r="Y11" s="391">
        <v>2167</v>
      </c>
      <c r="Z11" s="391">
        <v>2567</v>
      </c>
      <c r="AA11" s="391">
        <v>4734</v>
      </c>
      <c r="AB11" s="391">
        <v>2167</v>
      </c>
      <c r="AC11" s="391">
        <v>2567</v>
      </c>
      <c r="AD11" s="391">
        <v>4734</v>
      </c>
      <c r="AE11" s="391">
        <v>1555</v>
      </c>
      <c r="AF11" s="391">
        <v>1708</v>
      </c>
      <c r="AG11" s="391">
        <v>3263</v>
      </c>
      <c r="AH11" s="389">
        <v>0.7175819104753115</v>
      </c>
      <c r="AI11" s="389">
        <v>0.66536813400857031</v>
      </c>
      <c r="AJ11" s="389">
        <v>0.68926911702577098</v>
      </c>
      <c r="AK11" s="391">
        <v>1555</v>
      </c>
      <c r="AL11" s="391">
        <v>1708</v>
      </c>
      <c r="AM11" s="391">
        <v>3263</v>
      </c>
      <c r="AN11" s="391">
        <v>276</v>
      </c>
      <c r="AO11" s="391">
        <v>253</v>
      </c>
      <c r="AP11" s="391">
        <v>529</v>
      </c>
      <c r="AQ11" s="389">
        <v>0.17749196141479098</v>
      </c>
      <c r="AR11" s="389">
        <v>0.14812646370023419</v>
      </c>
      <c r="AS11" s="389">
        <v>0.1621207477781183</v>
      </c>
      <c r="AT11" s="390"/>
      <c r="AU11" s="390"/>
      <c r="AV11" s="390"/>
      <c r="AW11" s="390"/>
      <c r="AX11" s="390"/>
      <c r="AY11" s="390"/>
      <c r="AZ11" s="390"/>
      <c r="BA11" s="390"/>
      <c r="BB11" s="390"/>
      <c r="BC11" s="390"/>
      <c r="BD11" s="390"/>
      <c r="BE11" s="390"/>
      <c r="BF11" s="390"/>
      <c r="BG11" s="390"/>
      <c r="BH11" s="390"/>
      <c r="BI11" s="390"/>
      <c r="BJ11" s="390"/>
      <c r="BK11" s="390"/>
      <c r="BL11" s="390"/>
      <c r="BM11" s="390"/>
      <c r="BN11" s="390"/>
      <c r="BO11" s="390"/>
      <c r="BP11" s="390"/>
      <c r="BQ11" s="390"/>
      <c r="BR11" s="390"/>
      <c r="BS11" s="390"/>
      <c r="BT11" s="390"/>
      <c r="BU11" s="390"/>
      <c r="BV11" s="390"/>
      <c r="BW11" s="390"/>
      <c r="BX11" s="390"/>
      <c r="BY11" s="390"/>
      <c r="BZ11" s="390"/>
      <c r="CA11" s="390"/>
      <c r="CB11" s="390"/>
      <c r="CC11" s="390"/>
      <c r="CD11" s="390"/>
      <c r="CE11" s="390"/>
      <c r="CF11" s="390"/>
      <c r="CG11" s="390"/>
      <c r="CH11" s="390"/>
      <c r="CI11" s="390"/>
      <c r="CJ11" s="390"/>
      <c r="CK11" s="390"/>
      <c r="CL11" s="390"/>
      <c r="CM11" s="390"/>
      <c r="CN11" s="390"/>
      <c r="CO11" s="390"/>
      <c r="CP11" s="390"/>
      <c r="CQ11" s="390"/>
      <c r="CR11" s="390"/>
      <c r="CS11" s="390"/>
      <c r="CT11" s="390"/>
      <c r="CU11" s="390"/>
      <c r="CV11" s="390"/>
      <c r="CW11" s="390"/>
      <c r="CX11" s="390"/>
      <c r="CY11" s="390"/>
      <c r="CZ11" s="390"/>
      <c r="DA11" s="390"/>
      <c r="DB11" s="390"/>
      <c r="DC11" s="390"/>
      <c r="DD11" s="390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H11"/>
      <c r="EI11"/>
      <c r="EJ11"/>
    </row>
    <row r="12" spans="1:140" ht="31.5" x14ac:dyDescent="0.25">
      <c r="A12" s="423">
        <v>6</v>
      </c>
      <c r="B12" s="486" t="s">
        <v>362</v>
      </c>
      <c r="C12" s="424" t="s">
        <v>345</v>
      </c>
      <c r="D12" s="392">
        <v>882339</v>
      </c>
      <c r="E12" s="392">
        <v>867308</v>
      </c>
      <c r="F12" s="392">
        <v>1749647</v>
      </c>
      <c r="G12" s="392">
        <v>816428</v>
      </c>
      <c r="H12" s="392">
        <v>791517</v>
      </c>
      <c r="I12" s="392">
        <v>1607945</v>
      </c>
      <c r="J12" s="392">
        <v>659200</v>
      </c>
      <c r="K12" s="392">
        <v>599863</v>
      </c>
      <c r="L12" s="392">
        <v>1259063</v>
      </c>
      <c r="M12" s="389">
        <v>0.80741963773902903</v>
      </c>
      <c r="N12" s="389">
        <v>0.75786496057570463</v>
      </c>
      <c r="O12" s="389">
        <v>0.78302616072067144</v>
      </c>
      <c r="P12" s="388">
        <v>659200</v>
      </c>
      <c r="Q12" s="388">
        <v>599863</v>
      </c>
      <c r="R12" s="388">
        <v>1259063</v>
      </c>
      <c r="S12" s="388">
        <v>250890</v>
      </c>
      <c r="T12" s="388">
        <v>169969</v>
      </c>
      <c r="U12" s="388">
        <v>420859</v>
      </c>
      <c r="V12" s="389">
        <v>0.38059769417475731</v>
      </c>
      <c r="W12" s="389">
        <v>0.28334636408646641</v>
      </c>
      <c r="X12" s="389">
        <v>0.33426365479725795</v>
      </c>
      <c r="Y12" s="391">
        <v>794745</v>
      </c>
      <c r="Z12" s="391">
        <v>808043</v>
      </c>
      <c r="AA12" s="391">
        <v>1602788</v>
      </c>
      <c r="AB12" s="391">
        <v>733551</v>
      </c>
      <c r="AC12" s="391">
        <v>735282</v>
      </c>
      <c r="AD12" s="391">
        <v>1468833</v>
      </c>
      <c r="AE12" s="391">
        <v>589795</v>
      </c>
      <c r="AF12" s="391">
        <v>556167</v>
      </c>
      <c r="AG12" s="391">
        <v>1145962</v>
      </c>
      <c r="AH12" s="389">
        <v>0.80402725918170648</v>
      </c>
      <c r="AI12" s="389">
        <v>0.7563995854651685</v>
      </c>
      <c r="AJ12" s="389">
        <v>0.78018535803593736</v>
      </c>
      <c r="AK12" s="391">
        <v>589795</v>
      </c>
      <c r="AL12" s="391">
        <v>556167</v>
      </c>
      <c r="AM12" s="391">
        <v>1145962</v>
      </c>
      <c r="AN12" s="391">
        <v>215010</v>
      </c>
      <c r="AO12" s="391">
        <v>155064</v>
      </c>
      <c r="AP12" s="391">
        <v>370074</v>
      </c>
      <c r="AQ12" s="389">
        <v>0.36455039462864214</v>
      </c>
      <c r="AR12" s="389">
        <v>0.27880834353710304</v>
      </c>
      <c r="AS12" s="389">
        <v>0.32293740979194774</v>
      </c>
      <c r="AT12" s="391">
        <v>87594</v>
      </c>
      <c r="AU12" s="391">
        <v>59265</v>
      </c>
      <c r="AV12" s="391">
        <v>146859</v>
      </c>
      <c r="AW12" s="391">
        <v>82877</v>
      </c>
      <c r="AX12" s="391">
        <v>56235</v>
      </c>
      <c r="AY12" s="391">
        <v>139112</v>
      </c>
      <c r="AZ12" s="391">
        <v>69405</v>
      </c>
      <c r="BA12" s="391">
        <v>43696</v>
      </c>
      <c r="BB12" s="391">
        <v>113101</v>
      </c>
      <c r="BC12" s="389">
        <v>0.83744585349373168</v>
      </c>
      <c r="BD12" s="389">
        <v>0.77702498444029522</v>
      </c>
      <c r="BE12" s="389">
        <v>0.81302116280407155</v>
      </c>
      <c r="BF12" s="391">
        <v>69405</v>
      </c>
      <c r="BG12" s="391">
        <v>43696</v>
      </c>
      <c r="BH12" s="391">
        <v>113101</v>
      </c>
      <c r="BI12" s="391">
        <v>35880</v>
      </c>
      <c r="BJ12" s="391">
        <v>14905</v>
      </c>
      <c r="BK12" s="391">
        <v>50785</v>
      </c>
      <c r="BL12" s="389">
        <v>0.5169656364815215</v>
      </c>
      <c r="BM12" s="389">
        <v>0.34110673745880632</v>
      </c>
      <c r="BN12" s="389">
        <v>0.4490234392268857</v>
      </c>
      <c r="BO12" s="390"/>
      <c r="BP12" s="390"/>
      <c r="BQ12" s="390"/>
      <c r="BR12" s="390"/>
      <c r="BS12" s="390"/>
      <c r="BT12" s="390"/>
      <c r="BU12" s="390"/>
      <c r="BV12" s="390"/>
      <c r="BW12" s="390"/>
      <c r="BX12" s="390"/>
      <c r="BY12" s="390"/>
      <c r="BZ12" s="390"/>
      <c r="CA12" s="390"/>
      <c r="CB12" s="390"/>
      <c r="CC12" s="390"/>
      <c r="CD12" s="390"/>
      <c r="CE12" s="390"/>
      <c r="CF12" s="390"/>
      <c r="CG12" s="390"/>
      <c r="CH12" s="390"/>
      <c r="CI12" s="390"/>
      <c r="CJ12" s="390"/>
      <c r="CK12" s="390"/>
      <c r="CL12" s="390"/>
      <c r="CM12" s="390"/>
      <c r="CN12" s="390"/>
      <c r="CO12" s="390"/>
      <c r="CP12" s="390"/>
      <c r="CQ12" s="390"/>
      <c r="CR12" s="390"/>
      <c r="CS12" s="390"/>
      <c r="CT12" s="390"/>
      <c r="CU12" s="390"/>
      <c r="CV12" s="390"/>
      <c r="CW12" s="390"/>
      <c r="CX12" s="390"/>
      <c r="CY12" s="390"/>
      <c r="CZ12" s="390"/>
      <c r="DA12" s="390"/>
      <c r="DB12" s="390"/>
      <c r="DC12" s="390"/>
      <c r="DD12" s="390"/>
    </row>
    <row r="13" spans="1:140" s="377" customFormat="1" ht="36.75" customHeight="1" x14ac:dyDescent="0.25">
      <c r="A13" s="423">
        <v>7</v>
      </c>
      <c r="B13" s="486"/>
      <c r="C13" s="424" t="s">
        <v>139</v>
      </c>
      <c r="D13" s="392">
        <v>19458</v>
      </c>
      <c r="E13" s="392">
        <v>36079</v>
      </c>
      <c r="F13" s="392">
        <v>55537</v>
      </c>
      <c r="G13" s="392">
        <v>19203</v>
      </c>
      <c r="H13" s="392">
        <v>35951</v>
      </c>
      <c r="I13" s="392">
        <v>55154</v>
      </c>
      <c r="J13" s="392">
        <v>17866</v>
      </c>
      <c r="K13" s="392">
        <v>34898</v>
      </c>
      <c r="L13" s="392">
        <v>52764</v>
      </c>
      <c r="M13" s="389">
        <v>0.93037546216736966</v>
      </c>
      <c r="N13" s="389">
        <v>0.9707101332369058</v>
      </c>
      <c r="O13" s="389">
        <v>0.95666678754034162</v>
      </c>
      <c r="P13" s="388">
        <v>17866</v>
      </c>
      <c r="Q13" s="388">
        <v>34898</v>
      </c>
      <c r="R13" s="388">
        <v>52764</v>
      </c>
      <c r="S13" s="388">
        <v>4005</v>
      </c>
      <c r="T13" s="388">
        <v>5825</v>
      </c>
      <c r="U13" s="388">
        <v>9830</v>
      </c>
      <c r="V13" s="389">
        <v>0.22416881226911453</v>
      </c>
      <c r="W13" s="389">
        <v>0.1669150094561293</v>
      </c>
      <c r="X13" s="389">
        <v>0.18630126601470701</v>
      </c>
      <c r="Y13" s="391">
        <v>10</v>
      </c>
      <c r="Z13" s="391">
        <v>1</v>
      </c>
      <c r="AA13" s="391">
        <v>11</v>
      </c>
      <c r="AB13" s="391">
        <v>10</v>
      </c>
      <c r="AC13" s="391">
        <v>1</v>
      </c>
      <c r="AD13" s="391">
        <v>11</v>
      </c>
      <c r="AE13" s="391">
        <v>9</v>
      </c>
      <c r="AF13" s="391">
        <v>1</v>
      </c>
      <c r="AG13" s="391">
        <v>10</v>
      </c>
      <c r="AH13" s="389">
        <v>0.9</v>
      </c>
      <c r="AI13" s="389">
        <v>1</v>
      </c>
      <c r="AJ13" s="389">
        <v>0.90909090909090906</v>
      </c>
      <c r="AK13" s="391">
        <v>9</v>
      </c>
      <c r="AL13" s="391">
        <v>1</v>
      </c>
      <c r="AM13" s="391">
        <v>10</v>
      </c>
      <c r="AN13" s="391">
        <v>2</v>
      </c>
      <c r="AO13" s="391">
        <v>0</v>
      </c>
      <c r="AP13" s="391">
        <v>2</v>
      </c>
      <c r="AQ13" s="389">
        <v>0.22222222222222221</v>
      </c>
      <c r="AR13" s="389">
        <v>0</v>
      </c>
      <c r="AS13" s="389">
        <v>0.2</v>
      </c>
      <c r="AT13" s="391">
        <v>16998</v>
      </c>
      <c r="AU13" s="391">
        <v>30592</v>
      </c>
      <c r="AV13" s="391">
        <v>47590</v>
      </c>
      <c r="AW13" s="391">
        <v>16767</v>
      </c>
      <c r="AX13" s="391">
        <v>30488</v>
      </c>
      <c r="AY13" s="391">
        <v>47255</v>
      </c>
      <c r="AZ13" s="391">
        <v>15618</v>
      </c>
      <c r="BA13" s="391">
        <v>29615</v>
      </c>
      <c r="BB13" s="391">
        <v>45233</v>
      </c>
      <c r="BC13" s="389">
        <v>0.93147253533726959</v>
      </c>
      <c r="BD13" s="389">
        <v>0.97136578325898715</v>
      </c>
      <c r="BE13" s="389">
        <v>0.95721087715585651</v>
      </c>
      <c r="BF13" s="391">
        <v>15618</v>
      </c>
      <c r="BG13" s="391">
        <v>29615</v>
      </c>
      <c r="BH13" s="391">
        <v>45233</v>
      </c>
      <c r="BI13" s="391">
        <v>3536</v>
      </c>
      <c r="BJ13" s="391">
        <v>4844</v>
      </c>
      <c r="BK13" s="391">
        <v>8380</v>
      </c>
      <c r="BL13" s="389">
        <v>0.22640542963247534</v>
      </c>
      <c r="BM13" s="389">
        <v>0.16356576059429342</v>
      </c>
      <c r="BN13" s="389">
        <v>0.18526297172418368</v>
      </c>
      <c r="BO13" s="391">
        <v>2450</v>
      </c>
      <c r="BP13" s="391">
        <v>5486</v>
      </c>
      <c r="BQ13" s="391">
        <v>7936</v>
      </c>
      <c r="BR13" s="391">
        <v>2426</v>
      </c>
      <c r="BS13" s="391">
        <v>5462</v>
      </c>
      <c r="BT13" s="391">
        <v>7888</v>
      </c>
      <c r="BU13" s="391">
        <v>2239</v>
      </c>
      <c r="BV13" s="391">
        <v>5282</v>
      </c>
      <c r="BW13" s="391">
        <v>7521</v>
      </c>
      <c r="BX13" s="389">
        <v>0.92291838417147565</v>
      </c>
      <c r="BY13" s="389">
        <v>0.96704503844745515</v>
      </c>
      <c r="BZ13" s="389">
        <v>0.95347363083164305</v>
      </c>
      <c r="CA13" s="391">
        <v>2239</v>
      </c>
      <c r="CB13" s="391">
        <v>5282</v>
      </c>
      <c r="CC13" s="391">
        <v>7521</v>
      </c>
      <c r="CD13" s="391">
        <v>467</v>
      </c>
      <c r="CE13" s="391">
        <v>981</v>
      </c>
      <c r="CF13" s="391">
        <v>1448</v>
      </c>
      <c r="CG13" s="389">
        <v>0.20857525681107639</v>
      </c>
      <c r="CH13" s="389">
        <v>0.18572510412722454</v>
      </c>
      <c r="CI13" s="389">
        <v>0.19252758941630102</v>
      </c>
      <c r="CJ13" s="390"/>
      <c r="CK13" s="390"/>
      <c r="CL13" s="390"/>
      <c r="CM13" s="390"/>
      <c r="CN13" s="390"/>
      <c r="CO13" s="390"/>
      <c r="CP13" s="390"/>
      <c r="CQ13" s="390"/>
      <c r="CR13" s="390"/>
      <c r="CS13" s="390"/>
      <c r="CT13" s="390"/>
      <c r="CU13" s="390"/>
      <c r="CV13" s="390"/>
      <c r="CW13" s="390"/>
      <c r="CX13" s="390"/>
      <c r="CY13" s="390"/>
      <c r="CZ13" s="390"/>
      <c r="DA13" s="390"/>
      <c r="DB13" s="390"/>
      <c r="DC13" s="390"/>
      <c r="DD13" s="390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H13"/>
      <c r="EI13"/>
      <c r="EJ13"/>
    </row>
    <row r="14" spans="1:140" s="377" customFormat="1" ht="38.25" customHeight="1" x14ac:dyDescent="0.25">
      <c r="A14" s="423">
        <v>8</v>
      </c>
      <c r="B14" s="486"/>
      <c r="C14" s="424" t="s">
        <v>352</v>
      </c>
      <c r="D14" s="392">
        <v>7459</v>
      </c>
      <c r="E14" s="392">
        <v>8468</v>
      </c>
      <c r="F14" s="392">
        <v>15927</v>
      </c>
      <c r="G14" s="392">
        <v>7459</v>
      </c>
      <c r="H14" s="392">
        <v>8468</v>
      </c>
      <c r="I14" s="392">
        <v>15927</v>
      </c>
      <c r="J14" s="392">
        <v>5474</v>
      </c>
      <c r="K14" s="392">
        <v>6121</v>
      </c>
      <c r="L14" s="392">
        <v>11595</v>
      </c>
      <c r="M14" s="389">
        <v>0.73387853599678243</v>
      </c>
      <c r="N14" s="389">
        <v>0.72283892300425134</v>
      </c>
      <c r="O14" s="389">
        <v>0.72800904125070631</v>
      </c>
      <c r="P14" s="388">
        <v>5474</v>
      </c>
      <c r="Q14" s="388">
        <v>6121</v>
      </c>
      <c r="R14" s="388">
        <v>11595</v>
      </c>
      <c r="S14" s="388">
        <v>3998</v>
      </c>
      <c r="T14" s="388">
        <v>4401</v>
      </c>
      <c r="U14" s="388">
        <v>8399</v>
      </c>
      <c r="V14" s="389">
        <v>0.73036170990135185</v>
      </c>
      <c r="W14" s="389">
        <v>0.71900016337199801</v>
      </c>
      <c r="X14" s="389">
        <v>0.724363949978439</v>
      </c>
      <c r="Y14" s="391">
        <v>7459</v>
      </c>
      <c r="Z14" s="391">
        <v>8468</v>
      </c>
      <c r="AA14" s="391">
        <v>15927</v>
      </c>
      <c r="AB14" s="391">
        <v>7459</v>
      </c>
      <c r="AC14" s="391">
        <v>8468</v>
      </c>
      <c r="AD14" s="391">
        <v>15927</v>
      </c>
      <c r="AE14" s="391">
        <v>5474</v>
      </c>
      <c r="AF14" s="391">
        <v>6121</v>
      </c>
      <c r="AG14" s="391">
        <v>11595</v>
      </c>
      <c r="AH14" s="389">
        <v>0.73387853599678243</v>
      </c>
      <c r="AI14" s="389">
        <v>0.72283892300425134</v>
      </c>
      <c r="AJ14" s="389">
        <v>0.72800904125070631</v>
      </c>
      <c r="AK14" s="391">
        <v>5474</v>
      </c>
      <c r="AL14" s="391">
        <v>6121</v>
      </c>
      <c r="AM14" s="391">
        <v>11595</v>
      </c>
      <c r="AN14" s="388">
        <v>3998</v>
      </c>
      <c r="AO14" s="388">
        <v>4401</v>
      </c>
      <c r="AP14" s="388">
        <v>8399</v>
      </c>
      <c r="AQ14" s="389">
        <v>0.73036170990135185</v>
      </c>
      <c r="AR14" s="389">
        <v>0.71900016337199801</v>
      </c>
      <c r="AS14" s="389">
        <v>0.724363949978439</v>
      </c>
      <c r="AT14" s="390"/>
      <c r="AU14" s="390"/>
      <c r="AV14" s="390"/>
      <c r="AW14" s="390"/>
      <c r="AX14" s="390"/>
      <c r="AY14" s="390"/>
      <c r="AZ14" s="390"/>
      <c r="BA14" s="390"/>
      <c r="BB14" s="390"/>
      <c r="BC14" s="390"/>
      <c r="BD14" s="390"/>
      <c r="BE14" s="390"/>
      <c r="BF14" s="390"/>
      <c r="BG14" s="390"/>
      <c r="BH14" s="390"/>
      <c r="BI14" s="390"/>
      <c r="BJ14" s="390"/>
      <c r="BK14" s="390"/>
      <c r="BL14" s="390"/>
      <c r="BM14" s="390"/>
      <c r="BN14" s="390"/>
      <c r="BO14" s="390"/>
      <c r="BP14" s="390"/>
      <c r="BQ14" s="390"/>
      <c r="BR14" s="390"/>
      <c r="BS14" s="390"/>
      <c r="BT14" s="390"/>
      <c r="BU14" s="390"/>
      <c r="BV14" s="390"/>
      <c r="BW14" s="390"/>
      <c r="BX14" s="390"/>
      <c r="BY14" s="390"/>
      <c r="BZ14" s="390"/>
      <c r="CA14" s="390"/>
      <c r="CB14" s="390"/>
      <c r="CC14" s="390"/>
      <c r="CD14" s="390"/>
      <c r="CE14" s="390"/>
      <c r="CF14" s="390"/>
      <c r="CG14" s="390"/>
      <c r="CH14" s="390"/>
      <c r="CI14" s="390"/>
      <c r="CJ14" s="390"/>
      <c r="CK14" s="390"/>
      <c r="CL14" s="390"/>
      <c r="CM14" s="390"/>
      <c r="CN14" s="390"/>
      <c r="CO14" s="390"/>
      <c r="CP14" s="390"/>
      <c r="CQ14" s="390"/>
      <c r="CR14" s="390"/>
      <c r="CS14" s="390"/>
      <c r="CT14" s="390"/>
      <c r="CU14" s="390"/>
      <c r="CV14" s="390"/>
      <c r="CW14" s="390"/>
      <c r="CX14" s="390"/>
      <c r="CY14" s="390"/>
      <c r="CZ14" s="390"/>
      <c r="DA14" s="390"/>
      <c r="DB14" s="390"/>
      <c r="DC14" s="390"/>
      <c r="DD14" s="390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H14"/>
      <c r="EI14"/>
      <c r="EJ14"/>
    </row>
    <row r="15" spans="1:140" ht="39" customHeight="1" x14ac:dyDescent="0.25">
      <c r="A15" s="423">
        <v>9</v>
      </c>
      <c r="B15" s="486" t="s">
        <v>363</v>
      </c>
      <c r="C15" s="424" t="s">
        <v>145</v>
      </c>
      <c r="D15" s="392">
        <v>179675</v>
      </c>
      <c r="E15" s="392">
        <v>196019</v>
      </c>
      <c r="F15" s="392">
        <v>375694</v>
      </c>
      <c r="G15" s="392">
        <v>171424</v>
      </c>
      <c r="H15" s="392">
        <v>191752</v>
      </c>
      <c r="I15" s="392">
        <v>363176</v>
      </c>
      <c r="J15" s="392">
        <v>122559</v>
      </c>
      <c r="K15" s="392">
        <v>155350</v>
      </c>
      <c r="L15" s="392">
        <v>277909</v>
      </c>
      <c r="M15" s="389">
        <v>0.71494656524173983</v>
      </c>
      <c r="N15" s="389">
        <v>0.81016104134507072</v>
      </c>
      <c r="O15" s="389">
        <v>0.76521851664206886</v>
      </c>
      <c r="P15" s="388">
        <v>122559</v>
      </c>
      <c r="Q15" s="388">
        <v>155350</v>
      </c>
      <c r="R15" s="388">
        <v>277909</v>
      </c>
      <c r="S15" s="388">
        <v>52171</v>
      </c>
      <c r="T15" s="388">
        <v>80566</v>
      </c>
      <c r="U15" s="388">
        <v>132737</v>
      </c>
      <c r="V15" s="389">
        <v>0.42568069256439756</v>
      </c>
      <c r="W15" s="389">
        <v>0.51860959124557449</v>
      </c>
      <c r="X15" s="389">
        <v>0.47762756873652884</v>
      </c>
      <c r="Y15" s="391">
        <v>143894</v>
      </c>
      <c r="Z15" s="391">
        <v>164942</v>
      </c>
      <c r="AA15" s="391">
        <v>308836</v>
      </c>
      <c r="AB15" s="391">
        <v>136178</v>
      </c>
      <c r="AC15" s="391">
        <v>160894</v>
      </c>
      <c r="AD15" s="391">
        <v>297072</v>
      </c>
      <c r="AE15" s="391">
        <v>92962</v>
      </c>
      <c r="AF15" s="391">
        <v>127300</v>
      </c>
      <c r="AG15" s="391">
        <v>220262</v>
      </c>
      <c r="AH15" s="389">
        <v>0.68265064841604373</v>
      </c>
      <c r="AI15" s="389">
        <v>0.79120414682958962</v>
      </c>
      <c r="AJ15" s="389">
        <v>0.74144315182851295</v>
      </c>
      <c r="AK15" s="391">
        <v>92962</v>
      </c>
      <c r="AL15" s="391">
        <v>127300</v>
      </c>
      <c r="AM15" s="391">
        <v>220262</v>
      </c>
      <c r="AN15" s="391">
        <v>33942</v>
      </c>
      <c r="AO15" s="391">
        <v>59302</v>
      </c>
      <c r="AP15" s="391">
        <v>93244</v>
      </c>
      <c r="AQ15" s="389">
        <v>0.36511692949807451</v>
      </c>
      <c r="AR15" s="389">
        <v>0.46584446190102119</v>
      </c>
      <c r="AS15" s="389">
        <v>0.42333221345488553</v>
      </c>
      <c r="AT15" s="390"/>
      <c r="AU15" s="390"/>
      <c r="AV15" s="390"/>
      <c r="AW15" s="390"/>
      <c r="AX15" s="390"/>
      <c r="AY15" s="390"/>
      <c r="AZ15" s="390"/>
      <c r="BA15" s="390"/>
      <c r="BB15" s="390"/>
      <c r="BC15" s="390"/>
      <c r="BD15" s="390"/>
      <c r="BE15" s="390"/>
      <c r="BF15" s="390"/>
      <c r="BG15" s="390"/>
      <c r="BH15" s="390"/>
      <c r="BI15" s="390"/>
      <c r="BJ15" s="390"/>
      <c r="BK15" s="390"/>
      <c r="BL15" s="390"/>
      <c r="BM15" s="390"/>
      <c r="BN15" s="390"/>
      <c r="BO15" s="391">
        <v>35781</v>
      </c>
      <c r="BP15" s="391">
        <v>31077</v>
      </c>
      <c r="BQ15" s="391">
        <v>66858</v>
      </c>
      <c r="BR15" s="391">
        <v>35246</v>
      </c>
      <c r="BS15" s="391">
        <v>30858</v>
      </c>
      <c r="BT15" s="391">
        <v>66104</v>
      </c>
      <c r="BU15" s="391">
        <v>29597</v>
      </c>
      <c r="BV15" s="391">
        <v>28050</v>
      </c>
      <c r="BW15" s="391">
        <v>57647</v>
      </c>
      <c r="BX15" s="389">
        <v>0.83972649378652897</v>
      </c>
      <c r="BY15" s="389">
        <v>0.90900252770756362</v>
      </c>
      <c r="BZ15" s="389">
        <v>0.87206523054580665</v>
      </c>
      <c r="CA15" s="391">
        <v>29597</v>
      </c>
      <c r="CB15" s="391">
        <v>28050</v>
      </c>
      <c r="CC15" s="391">
        <v>57647</v>
      </c>
      <c r="CD15" s="391">
        <v>18229</v>
      </c>
      <c r="CE15" s="391">
        <v>21264</v>
      </c>
      <c r="CF15" s="391">
        <v>39493</v>
      </c>
      <c r="CG15" s="389">
        <v>0.61590701760313549</v>
      </c>
      <c r="CH15" s="389">
        <v>0.75807486631016041</v>
      </c>
      <c r="CI15" s="389">
        <v>0.68508335212586957</v>
      </c>
      <c r="CJ15" s="390"/>
      <c r="CK15" s="390"/>
      <c r="CL15" s="390"/>
      <c r="CM15" s="390"/>
      <c r="CN15" s="390"/>
      <c r="CO15" s="390"/>
      <c r="CP15" s="390"/>
      <c r="CQ15" s="390"/>
      <c r="CR15" s="390"/>
      <c r="CS15" s="390"/>
      <c r="CT15" s="390"/>
      <c r="CU15" s="390"/>
      <c r="CV15" s="390"/>
      <c r="CW15" s="390"/>
      <c r="CX15" s="390"/>
      <c r="CY15" s="390"/>
      <c r="CZ15" s="390"/>
      <c r="DA15" s="390"/>
      <c r="DB15" s="390"/>
      <c r="DC15" s="390"/>
      <c r="DD15" s="390"/>
    </row>
    <row r="16" spans="1:140" s="377" customFormat="1" ht="41.25" customHeight="1" x14ac:dyDescent="0.25">
      <c r="A16" s="423">
        <v>10</v>
      </c>
      <c r="B16" s="486"/>
      <c r="C16" s="424" t="s">
        <v>346</v>
      </c>
      <c r="D16" s="392">
        <v>70</v>
      </c>
      <c r="E16" s="392">
        <v>62</v>
      </c>
      <c r="F16" s="392">
        <v>132</v>
      </c>
      <c r="G16" s="392">
        <v>63</v>
      </c>
      <c r="H16" s="392">
        <v>60</v>
      </c>
      <c r="I16" s="392">
        <v>123</v>
      </c>
      <c r="J16" s="392">
        <v>60</v>
      </c>
      <c r="K16" s="392">
        <v>55</v>
      </c>
      <c r="L16" s="392">
        <v>115</v>
      </c>
      <c r="M16" s="389">
        <v>0.95238095238095233</v>
      </c>
      <c r="N16" s="389">
        <v>0.91666666666666663</v>
      </c>
      <c r="O16" s="389">
        <v>0.93495934959349591</v>
      </c>
      <c r="P16" s="388">
        <v>60</v>
      </c>
      <c r="Q16" s="388">
        <v>55</v>
      </c>
      <c r="R16" s="388">
        <v>115</v>
      </c>
      <c r="S16" s="388">
        <v>56</v>
      </c>
      <c r="T16" s="388">
        <v>50</v>
      </c>
      <c r="U16" s="388">
        <v>106</v>
      </c>
      <c r="V16" s="389">
        <v>0.93333333333333335</v>
      </c>
      <c r="W16" s="389">
        <v>0.90909090909090906</v>
      </c>
      <c r="X16" s="389">
        <v>0.92173913043478262</v>
      </c>
      <c r="Y16" s="393"/>
      <c r="Z16" s="393"/>
      <c r="AA16" s="393"/>
      <c r="AB16" s="393"/>
      <c r="AC16" s="393"/>
      <c r="AD16" s="393"/>
      <c r="AE16" s="393"/>
      <c r="AF16" s="393"/>
      <c r="AG16" s="393"/>
      <c r="AH16" s="390"/>
      <c r="AI16" s="390"/>
      <c r="AJ16" s="390"/>
      <c r="AK16" s="390"/>
      <c r="AL16" s="390"/>
      <c r="AM16" s="390"/>
      <c r="AN16" s="390"/>
      <c r="AO16" s="390"/>
      <c r="AP16" s="390"/>
      <c r="AQ16" s="390"/>
      <c r="AR16" s="390"/>
      <c r="AS16" s="390"/>
      <c r="AT16" s="390"/>
      <c r="AU16" s="390"/>
      <c r="AV16" s="390"/>
      <c r="AW16" s="390"/>
      <c r="AX16" s="390"/>
      <c r="AY16" s="390"/>
      <c r="AZ16" s="390"/>
      <c r="BA16" s="390"/>
      <c r="BB16" s="390"/>
      <c r="BC16" s="390"/>
      <c r="BD16" s="390"/>
      <c r="BE16" s="390"/>
      <c r="BF16" s="390"/>
      <c r="BG16" s="390"/>
      <c r="BH16" s="390"/>
      <c r="BI16" s="390"/>
      <c r="BJ16" s="390"/>
      <c r="BK16" s="390"/>
      <c r="BL16" s="390"/>
      <c r="BM16" s="390"/>
      <c r="BN16" s="390"/>
      <c r="BO16" s="390"/>
      <c r="BP16" s="390"/>
      <c r="BQ16" s="390"/>
      <c r="BR16" s="390"/>
      <c r="BS16" s="390"/>
      <c r="BT16" s="390"/>
      <c r="BU16" s="390"/>
      <c r="BV16" s="390"/>
      <c r="BW16" s="390"/>
      <c r="BX16" s="390"/>
      <c r="BY16" s="390"/>
      <c r="BZ16" s="390"/>
      <c r="CA16" s="390"/>
      <c r="CB16" s="390"/>
      <c r="CC16" s="390"/>
      <c r="CD16" s="390"/>
      <c r="CE16" s="390"/>
      <c r="CF16" s="390"/>
      <c r="CG16" s="390"/>
      <c r="CH16" s="390"/>
      <c r="CI16" s="390"/>
      <c r="CJ16" s="391">
        <v>70</v>
      </c>
      <c r="CK16" s="391">
        <v>62</v>
      </c>
      <c r="CL16" s="391">
        <v>132</v>
      </c>
      <c r="CM16" s="391">
        <v>63</v>
      </c>
      <c r="CN16" s="391">
        <v>60</v>
      </c>
      <c r="CO16" s="391">
        <v>123</v>
      </c>
      <c r="CP16" s="391">
        <v>60</v>
      </c>
      <c r="CQ16" s="391">
        <v>55</v>
      </c>
      <c r="CR16" s="391">
        <v>115</v>
      </c>
      <c r="CS16" s="389">
        <v>0.95238095238095233</v>
      </c>
      <c r="CT16" s="389">
        <v>0.91666666666666663</v>
      </c>
      <c r="CU16" s="389">
        <v>0.93495934959349591</v>
      </c>
      <c r="CV16" s="391">
        <v>60</v>
      </c>
      <c r="CW16" s="391">
        <v>55</v>
      </c>
      <c r="CX16" s="391">
        <v>115</v>
      </c>
      <c r="CY16" s="391">
        <v>56</v>
      </c>
      <c r="CZ16" s="391">
        <v>50</v>
      </c>
      <c r="DA16" s="391">
        <v>106</v>
      </c>
      <c r="DB16" s="389">
        <v>0.93333333333333335</v>
      </c>
      <c r="DC16" s="389">
        <v>0.90909090909090906</v>
      </c>
      <c r="DD16" s="389">
        <v>0.92173913043478262</v>
      </c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H16"/>
      <c r="EI16"/>
      <c r="EJ16"/>
    </row>
    <row r="17" spans="1:140" s="376" customFormat="1" ht="36" customHeight="1" x14ac:dyDescent="0.25">
      <c r="A17" s="423">
        <v>11</v>
      </c>
      <c r="B17" s="486"/>
      <c r="C17" s="424" t="s">
        <v>347</v>
      </c>
      <c r="D17" s="392">
        <v>429</v>
      </c>
      <c r="E17" s="392">
        <v>304</v>
      </c>
      <c r="F17" s="392">
        <v>733</v>
      </c>
      <c r="G17" s="392">
        <v>399</v>
      </c>
      <c r="H17" s="392">
        <v>278</v>
      </c>
      <c r="I17" s="392">
        <v>677</v>
      </c>
      <c r="J17" s="392">
        <v>393</v>
      </c>
      <c r="K17" s="392">
        <v>276</v>
      </c>
      <c r="L17" s="392">
        <v>669</v>
      </c>
      <c r="M17" s="389">
        <v>0.98496240601503759</v>
      </c>
      <c r="N17" s="389">
        <v>0.9928057553956835</v>
      </c>
      <c r="O17" s="389">
        <v>0.98818316100443127</v>
      </c>
      <c r="P17" s="388">
        <v>393</v>
      </c>
      <c r="Q17" s="388">
        <v>276</v>
      </c>
      <c r="R17" s="388">
        <v>669</v>
      </c>
      <c r="S17" s="388">
        <v>282</v>
      </c>
      <c r="T17" s="388">
        <v>113</v>
      </c>
      <c r="U17" s="388">
        <v>395</v>
      </c>
      <c r="V17" s="389">
        <v>0.71755725190839692</v>
      </c>
      <c r="W17" s="389">
        <v>0.40942028985507245</v>
      </c>
      <c r="X17" s="389">
        <v>0.59043348281016439</v>
      </c>
      <c r="Y17" s="391">
        <v>8</v>
      </c>
      <c r="Z17" s="391">
        <v>0</v>
      </c>
      <c r="AA17" s="391">
        <v>8</v>
      </c>
      <c r="AB17" s="391">
        <v>8</v>
      </c>
      <c r="AC17" s="391">
        <v>0</v>
      </c>
      <c r="AD17" s="391">
        <v>8</v>
      </c>
      <c r="AE17" s="391">
        <v>8</v>
      </c>
      <c r="AF17" s="391">
        <v>0</v>
      </c>
      <c r="AG17" s="391">
        <v>8</v>
      </c>
      <c r="AH17" s="389">
        <v>1</v>
      </c>
      <c r="AI17" s="390"/>
      <c r="AJ17" s="389">
        <v>1</v>
      </c>
      <c r="AK17" s="391">
        <v>8</v>
      </c>
      <c r="AL17" s="391">
        <v>0</v>
      </c>
      <c r="AM17" s="391">
        <v>8</v>
      </c>
      <c r="AN17" s="391">
        <v>8</v>
      </c>
      <c r="AO17" s="391">
        <v>0</v>
      </c>
      <c r="AP17" s="391">
        <v>8</v>
      </c>
      <c r="AQ17" s="389">
        <v>1</v>
      </c>
      <c r="AR17" s="390"/>
      <c r="AS17" s="389">
        <v>1</v>
      </c>
      <c r="AT17" s="391">
        <v>59</v>
      </c>
      <c r="AU17" s="391">
        <v>44</v>
      </c>
      <c r="AV17" s="391">
        <v>103</v>
      </c>
      <c r="AW17" s="391">
        <v>59</v>
      </c>
      <c r="AX17" s="391">
        <v>42</v>
      </c>
      <c r="AY17" s="391">
        <v>101</v>
      </c>
      <c r="AZ17" s="391">
        <v>59</v>
      </c>
      <c r="BA17" s="391">
        <v>42</v>
      </c>
      <c r="BB17" s="391">
        <v>101</v>
      </c>
      <c r="BC17" s="389">
        <v>1</v>
      </c>
      <c r="BD17" s="389">
        <v>1</v>
      </c>
      <c r="BE17" s="389">
        <v>1</v>
      </c>
      <c r="BF17" s="391">
        <v>59</v>
      </c>
      <c r="BG17" s="391">
        <v>42</v>
      </c>
      <c r="BH17" s="391">
        <v>101</v>
      </c>
      <c r="BI17" s="391">
        <v>31</v>
      </c>
      <c r="BJ17" s="391">
        <v>18</v>
      </c>
      <c r="BK17" s="391">
        <v>49</v>
      </c>
      <c r="BL17" s="389">
        <v>0.52542372881355937</v>
      </c>
      <c r="BM17" s="389">
        <v>0.42857142857142855</v>
      </c>
      <c r="BN17" s="389">
        <v>0.48514851485148514</v>
      </c>
      <c r="BO17" s="391">
        <v>362</v>
      </c>
      <c r="BP17" s="391">
        <v>260</v>
      </c>
      <c r="BQ17" s="391">
        <v>622</v>
      </c>
      <c r="BR17" s="391">
        <v>332</v>
      </c>
      <c r="BS17" s="391">
        <v>236</v>
      </c>
      <c r="BT17" s="391">
        <v>568</v>
      </c>
      <c r="BU17" s="391">
        <v>326</v>
      </c>
      <c r="BV17" s="391">
        <v>234</v>
      </c>
      <c r="BW17" s="391">
        <v>560</v>
      </c>
      <c r="BX17" s="389">
        <v>0.98192771084337349</v>
      </c>
      <c r="BY17" s="389">
        <v>0.99152542372881358</v>
      </c>
      <c r="BZ17" s="389">
        <v>0.9859154929577465</v>
      </c>
      <c r="CA17" s="391">
        <v>326</v>
      </c>
      <c r="CB17" s="391">
        <v>234</v>
      </c>
      <c r="CC17" s="391">
        <v>560</v>
      </c>
      <c r="CD17" s="391">
        <v>243</v>
      </c>
      <c r="CE17" s="391">
        <v>95</v>
      </c>
      <c r="CF17" s="391">
        <v>338</v>
      </c>
      <c r="CG17" s="389">
        <v>0.745398773006135</v>
      </c>
      <c r="CH17" s="389">
        <v>0.40598290598290598</v>
      </c>
      <c r="CI17" s="389">
        <v>0.60357142857142854</v>
      </c>
      <c r="CJ17" s="390"/>
      <c r="CK17" s="390"/>
      <c r="CL17" s="390"/>
      <c r="CM17" s="390"/>
      <c r="CN17" s="390"/>
      <c r="CO17" s="390"/>
      <c r="CP17" s="390"/>
      <c r="CQ17" s="390"/>
      <c r="CR17" s="390"/>
      <c r="CS17" s="390"/>
      <c r="CT17" s="390"/>
      <c r="CU17" s="390"/>
      <c r="CV17" s="390"/>
      <c r="CW17" s="390"/>
      <c r="CX17" s="390"/>
      <c r="CY17" s="390"/>
      <c r="CZ17" s="390"/>
      <c r="DA17" s="390"/>
      <c r="DB17" s="390"/>
      <c r="DC17" s="390"/>
      <c r="DD17" s="390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H17"/>
      <c r="EI17"/>
      <c r="EJ17"/>
    </row>
    <row r="18" spans="1:140" ht="39.75" customHeight="1" x14ac:dyDescent="0.25">
      <c r="A18" s="423">
        <v>12</v>
      </c>
      <c r="B18" s="450" t="s">
        <v>364</v>
      </c>
      <c r="C18" s="424" t="s">
        <v>148</v>
      </c>
      <c r="D18" s="392">
        <v>10573</v>
      </c>
      <c r="E18" s="392">
        <v>10078</v>
      </c>
      <c r="F18" s="392">
        <v>20651</v>
      </c>
      <c r="G18" s="392">
        <v>10545</v>
      </c>
      <c r="H18" s="392">
        <v>10048</v>
      </c>
      <c r="I18" s="392">
        <v>20593</v>
      </c>
      <c r="J18" s="392">
        <v>9773</v>
      </c>
      <c r="K18" s="392">
        <v>9579</v>
      </c>
      <c r="L18" s="392">
        <v>19352</v>
      </c>
      <c r="M18" s="389">
        <v>0.9267899478425794</v>
      </c>
      <c r="N18" s="389">
        <v>0.9533240445859873</v>
      </c>
      <c r="O18" s="389">
        <v>0.93973680376827073</v>
      </c>
      <c r="P18" s="388">
        <v>9773</v>
      </c>
      <c r="Q18" s="388">
        <v>9579</v>
      </c>
      <c r="R18" s="388">
        <v>19352</v>
      </c>
      <c r="S18" s="388">
        <v>6109</v>
      </c>
      <c r="T18" s="388">
        <v>7284</v>
      </c>
      <c r="U18" s="388">
        <v>13393</v>
      </c>
      <c r="V18" s="389">
        <v>0.62508953238514275</v>
      </c>
      <c r="W18" s="389">
        <v>0.76041340432195426</v>
      </c>
      <c r="X18" s="389">
        <v>0.69207317073170727</v>
      </c>
      <c r="Y18" s="391">
        <v>961</v>
      </c>
      <c r="Z18" s="391">
        <v>924</v>
      </c>
      <c r="AA18" s="391">
        <v>1885</v>
      </c>
      <c r="AB18" s="391">
        <v>955</v>
      </c>
      <c r="AC18" s="391">
        <v>911</v>
      </c>
      <c r="AD18" s="391">
        <v>1866</v>
      </c>
      <c r="AE18" s="391">
        <v>883</v>
      </c>
      <c r="AF18" s="391">
        <v>881</v>
      </c>
      <c r="AG18" s="391">
        <v>1764</v>
      </c>
      <c r="AH18" s="389">
        <v>0.92460732984293192</v>
      </c>
      <c r="AI18" s="389">
        <v>0.96706915477497257</v>
      </c>
      <c r="AJ18" s="389">
        <v>0.94533762057877813</v>
      </c>
      <c r="AK18" s="391">
        <v>883</v>
      </c>
      <c r="AL18" s="391">
        <v>881</v>
      </c>
      <c r="AM18" s="391">
        <v>1764</v>
      </c>
      <c r="AN18" s="391">
        <v>443</v>
      </c>
      <c r="AO18" s="391">
        <v>602</v>
      </c>
      <c r="AP18" s="391">
        <v>1045</v>
      </c>
      <c r="AQ18" s="389">
        <v>0.50169875424688559</v>
      </c>
      <c r="AR18" s="389">
        <v>0.68331441543700344</v>
      </c>
      <c r="AS18" s="389">
        <v>0.59240362811791381</v>
      </c>
      <c r="AT18" s="391">
        <v>9407</v>
      </c>
      <c r="AU18" s="391">
        <v>9039</v>
      </c>
      <c r="AV18" s="391">
        <v>18446</v>
      </c>
      <c r="AW18" s="391">
        <v>9386</v>
      </c>
      <c r="AX18" s="391">
        <v>9022</v>
      </c>
      <c r="AY18" s="391">
        <v>18408</v>
      </c>
      <c r="AZ18" s="391">
        <v>8769</v>
      </c>
      <c r="BA18" s="391">
        <v>8607</v>
      </c>
      <c r="BB18" s="391">
        <v>17376</v>
      </c>
      <c r="BC18" s="389">
        <v>0.93426379714468355</v>
      </c>
      <c r="BD18" s="389">
        <v>0.9540013300820217</v>
      </c>
      <c r="BE18" s="389">
        <v>0.94393741851368973</v>
      </c>
      <c r="BF18" s="391">
        <v>8769</v>
      </c>
      <c r="BG18" s="391">
        <v>8607</v>
      </c>
      <c r="BH18" s="391">
        <v>17376</v>
      </c>
      <c r="BI18" s="391">
        <v>5620</v>
      </c>
      <c r="BJ18" s="391">
        <v>6611</v>
      </c>
      <c r="BK18" s="391">
        <v>12231</v>
      </c>
      <c r="BL18" s="389">
        <v>0.64089405861557758</v>
      </c>
      <c r="BM18" s="389">
        <v>0.76809573602881376</v>
      </c>
      <c r="BN18" s="389">
        <v>0.70390193370165743</v>
      </c>
      <c r="BO18" s="391">
        <v>49</v>
      </c>
      <c r="BP18" s="391">
        <v>72</v>
      </c>
      <c r="BQ18" s="391">
        <v>121</v>
      </c>
      <c r="BR18" s="391">
        <v>48</v>
      </c>
      <c r="BS18" s="391">
        <v>72</v>
      </c>
      <c r="BT18" s="391">
        <v>120</v>
      </c>
      <c r="BU18" s="391">
        <v>48</v>
      </c>
      <c r="BV18" s="391">
        <v>72</v>
      </c>
      <c r="BW18" s="391">
        <v>120</v>
      </c>
      <c r="BX18" s="389">
        <v>1</v>
      </c>
      <c r="BY18" s="389">
        <v>1</v>
      </c>
      <c r="BZ18" s="389">
        <v>1</v>
      </c>
      <c r="CA18" s="391">
        <v>48</v>
      </c>
      <c r="CB18" s="391">
        <v>72</v>
      </c>
      <c r="CC18" s="391">
        <v>120</v>
      </c>
      <c r="CD18" s="391">
        <v>37</v>
      </c>
      <c r="CE18" s="391">
        <v>67</v>
      </c>
      <c r="CF18" s="391">
        <v>104</v>
      </c>
      <c r="CG18" s="389">
        <v>0.77083333333333337</v>
      </c>
      <c r="CH18" s="389">
        <v>0.93055555555555558</v>
      </c>
      <c r="CI18" s="389">
        <v>0.8666666666666667</v>
      </c>
      <c r="CJ18" s="391">
        <v>156</v>
      </c>
      <c r="CK18" s="391">
        <v>43</v>
      </c>
      <c r="CL18" s="391">
        <v>199</v>
      </c>
      <c r="CM18" s="391">
        <v>156</v>
      </c>
      <c r="CN18" s="391">
        <v>43</v>
      </c>
      <c r="CO18" s="391">
        <v>199</v>
      </c>
      <c r="CP18" s="391">
        <v>73</v>
      </c>
      <c r="CQ18" s="391">
        <v>19</v>
      </c>
      <c r="CR18" s="391">
        <v>92</v>
      </c>
      <c r="CS18" s="389">
        <v>0.46794871794871795</v>
      </c>
      <c r="CT18" s="389">
        <v>0.44186046511627908</v>
      </c>
      <c r="CU18" s="389">
        <v>0.46231155778894473</v>
      </c>
      <c r="CV18" s="391">
        <v>73</v>
      </c>
      <c r="CW18" s="391">
        <v>19</v>
      </c>
      <c r="CX18" s="391">
        <v>92</v>
      </c>
      <c r="CY18" s="391">
        <v>9</v>
      </c>
      <c r="CZ18" s="391">
        <v>4</v>
      </c>
      <c r="DA18" s="391">
        <v>13</v>
      </c>
      <c r="DB18" s="389">
        <v>0.12328767123287671</v>
      </c>
      <c r="DC18" s="389">
        <v>0.21052631578947367</v>
      </c>
      <c r="DD18" s="389">
        <v>0.14130434782608695</v>
      </c>
    </row>
    <row r="19" spans="1:140" s="376" customFormat="1" ht="47.25" customHeight="1" x14ac:dyDescent="0.25">
      <c r="A19" s="423">
        <v>13</v>
      </c>
      <c r="B19" s="450" t="s">
        <v>365</v>
      </c>
      <c r="C19" s="424" t="s">
        <v>149</v>
      </c>
      <c r="D19" s="392">
        <v>432375</v>
      </c>
      <c r="E19" s="392">
        <v>353083</v>
      </c>
      <c r="F19" s="392">
        <v>785458</v>
      </c>
      <c r="G19" s="392">
        <v>427225</v>
      </c>
      <c r="H19" s="392">
        <v>347597</v>
      </c>
      <c r="I19" s="392">
        <v>774822</v>
      </c>
      <c r="J19" s="392">
        <v>269941</v>
      </c>
      <c r="K19" s="392">
        <v>259254</v>
      </c>
      <c r="L19" s="392">
        <v>529195</v>
      </c>
      <c r="M19" s="389">
        <v>0.63184738720814559</v>
      </c>
      <c r="N19" s="389">
        <v>0.74584648313995805</v>
      </c>
      <c r="O19" s="389">
        <v>0.6829891252442496</v>
      </c>
      <c r="P19" s="388">
        <v>269941</v>
      </c>
      <c r="Q19" s="388">
        <v>259254</v>
      </c>
      <c r="R19" s="388">
        <v>529195</v>
      </c>
      <c r="S19" s="388">
        <v>143266</v>
      </c>
      <c r="T19" s="388">
        <v>159215</v>
      </c>
      <c r="U19" s="388">
        <v>302481</v>
      </c>
      <c r="V19" s="389">
        <v>0.53073078932062934</v>
      </c>
      <c r="W19" s="389">
        <v>0.61412745801414825</v>
      </c>
      <c r="X19" s="389">
        <v>0.57158703313523374</v>
      </c>
      <c r="Y19" s="391">
        <v>28733</v>
      </c>
      <c r="Z19" s="391">
        <v>28990</v>
      </c>
      <c r="AA19" s="391">
        <v>57723</v>
      </c>
      <c r="AB19" s="391">
        <v>27953</v>
      </c>
      <c r="AC19" s="391">
        <v>28199</v>
      </c>
      <c r="AD19" s="391">
        <v>56152</v>
      </c>
      <c r="AE19" s="391">
        <v>14588</v>
      </c>
      <c r="AF19" s="391">
        <v>19593</v>
      </c>
      <c r="AG19" s="391">
        <v>34181</v>
      </c>
      <c r="AH19" s="389">
        <v>0.52187600615318575</v>
      </c>
      <c r="AI19" s="389">
        <v>0.6948118727614454</v>
      </c>
      <c r="AJ19" s="389">
        <v>0.60872275252885022</v>
      </c>
      <c r="AK19" s="391">
        <v>14588</v>
      </c>
      <c r="AL19" s="391">
        <v>19593</v>
      </c>
      <c r="AM19" s="391">
        <v>34181</v>
      </c>
      <c r="AN19" s="391">
        <v>5903</v>
      </c>
      <c r="AO19" s="391">
        <v>10432</v>
      </c>
      <c r="AP19" s="391">
        <v>16335</v>
      </c>
      <c r="AQ19" s="389">
        <v>0.4046476556073485</v>
      </c>
      <c r="AR19" s="389">
        <v>0.53243505333537489</v>
      </c>
      <c r="AS19" s="389">
        <v>0.47789707732365933</v>
      </c>
      <c r="AT19" s="391">
        <v>262894</v>
      </c>
      <c r="AU19" s="391">
        <v>231284</v>
      </c>
      <c r="AV19" s="391">
        <v>494178</v>
      </c>
      <c r="AW19" s="391">
        <v>259128</v>
      </c>
      <c r="AX19" s="391">
        <v>227040</v>
      </c>
      <c r="AY19" s="391">
        <v>486168</v>
      </c>
      <c r="AZ19" s="391">
        <v>143111</v>
      </c>
      <c r="BA19" s="391">
        <v>158782</v>
      </c>
      <c r="BB19" s="391">
        <v>301893</v>
      </c>
      <c r="BC19" s="389">
        <v>0.55227918248896302</v>
      </c>
      <c r="BD19" s="389">
        <v>0.69935694150810435</v>
      </c>
      <c r="BE19" s="389">
        <v>0.62096435799970384</v>
      </c>
      <c r="BF19" s="391">
        <v>143111</v>
      </c>
      <c r="BG19" s="391">
        <v>158782</v>
      </c>
      <c r="BH19" s="391">
        <v>301893</v>
      </c>
      <c r="BI19" s="391">
        <v>61014</v>
      </c>
      <c r="BJ19" s="391">
        <v>86041</v>
      </c>
      <c r="BK19" s="391">
        <v>147055</v>
      </c>
      <c r="BL19" s="389">
        <v>0.42634039312142324</v>
      </c>
      <c r="BM19" s="389">
        <v>0.54188132156037838</v>
      </c>
      <c r="BN19" s="389">
        <v>0.48710967130738375</v>
      </c>
      <c r="BO19" s="391">
        <v>139583</v>
      </c>
      <c r="BP19" s="391">
        <v>91503</v>
      </c>
      <c r="BQ19" s="391">
        <v>231086</v>
      </c>
      <c r="BR19" s="391">
        <v>139001</v>
      </c>
      <c r="BS19" s="391">
        <v>91081</v>
      </c>
      <c r="BT19" s="391">
        <v>230082</v>
      </c>
      <c r="BU19" s="391">
        <v>111326</v>
      </c>
      <c r="BV19" s="391">
        <v>79780</v>
      </c>
      <c r="BW19" s="391">
        <v>191106</v>
      </c>
      <c r="BX19" s="389">
        <v>0.80090071294451115</v>
      </c>
      <c r="BY19" s="389">
        <v>0.87592362841866034</v>
      </c>
      <c r="BZ19" s="389">
        <v>0.83059952538660131</v>
      </c>
      <c r="CA19" s="391">
        <v>111326</v>
      </c>
      <c r="CB19" s="391">
        <v>79780</v>
      </c>
      <c r="CC19" s="391">
        <v>191106</v>
      </c>
      <c r="CD19" s="391">
        <v>75765</v>
      </c>
      <c r="CE19" s="391">
        <v>62000</v>
      </c>
      <c r="CF19" s="391">
        <v>137765</v>
      </c>
      <c r="CG19" s="389">
        <v>0.68056877997951959</v>
      </c>
      <c r="CH19" s="389">
        <v>0.77713712709952365</v>
      </c>
      <c r="CI19" s="389">
        <v>0.72088265151277298</v>
      </c>
      <c r="CJ19" s="391">
        <v>1165</v>
      </c>
      <c r="CK19" s="391">
        <v>1306</v>
      </c>
      <c r="CL19" s="391">
        <v>2471</v>
      </c>
      <c r="CM19" s="391">
        <v>1143</v>
      </c>
      <c r="CN19" s="391">
        <v>1277</v>
      </c>
      <c r="CO19" s="391">
        <v>2420</v>
      </c>
      <c r="CP19" s="391">
        <v>916</v>
      </c>
      <c r="CQ19" s="391">
        <v>1099</v>
      </c>
      <c r="CR19" s="391">
        <v>2015</v>
      </c>
      <c r="CS19" s="389">
        <v>0.80139982502187224</v>
      </c>
      <c r="CT19" s="389">
        <v>0.860610806577917</v>
      </c>
      <c r="CU19" s="389">
        <v>0.8326446280991735</v>
      </c>
      <c r="CV19" s="391">
        <v>916</v>
      </c>
      <c r="CW19" s="391">
        <v>1099</v>
      </c>
      <c r="CX19" s="391">
        <v>2015</v>
      </c>
      <c r="CY19" s="391">
        <v>584</v>
      </c>
      <c r="CZ19" s="391">
        <v>742</v>
      </c>
      <c r="DA19" s="391">
        <v>1326</v>
      </c>
      <c r="DB19" s="389">
        <v>0.63755458515283847</v>
      </c>
      <c r="DC19" s="389">
        <v>0.67515923566878977</v>
      </c>
      <c r="DD19" s="389">
        <v>0.65806451612903227</v>
      </c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H19"/>
      <c r="EI19"/>
      <c r="EJ19"/>
    </row>
    <row r="20" spans="1:140" ht="40.5" customHeight="1" x14ac:dyDescent="0.25">
      <c r="A20" s="423">
        <v>14</v>
      </c>
      <c r="B20" s="450" t="s">
        <v>366</v>
      </c>
      <c r="C20" s="424" t="s">
        <v>140</v>
      </c>
      <c r="D20" s="392">
        <v>182640</v>
      </c>
      <c r="E20" s="392">
        <v>153805</v>
      </c>
      <c r="F20" s="392">
        <v>336445</v>
      </c>
      <c r="G20" s="425">
        <v>175851</v>
      </c>
      <c r="H20" s="425">
        <v>151027</v>
      </c>
      <c r="I20" s="425">
        <v>326878</v>
      </c>
      <c r="J20" s="425">
        <v>124760</v>
      </c>
      <c r="K20" s="425">
        <v>115634</v>
      </c>
      <c r="L20" s="425">
        <v>240394</v>
      </c>
      <c r="M20" s="389">
        <v>0.70946426235847393</v>
      </c>
      <c r="N20" s="389">
        <v>0.76565117495547153</v>
      </c>
      <c r="O20" s="389">
        <v>0.73542422555204079</v>
      </c>
      <c r="P20" s="388">
        <v>124760</v>
      </c>
      <c r="Q20" s="388">
        <v>115634</v>
      </c>
      <c r="R20" s="388">
        <v>240394</v>
      </c>
      <c r="S20" s="385">
        <v>96167</v>
      </c>
      <c r="T20" s="386">
        <v>98524</v>
      </c>
      <c r="U20" s="386">
        <v>194691</v>
      </c>
      <c r="V20" s="389">
        <v>0.77081596665597951</v>
      </c>
      <c r="W20" s="389">
        <v>0.85203313904215028</v>
      </c>
      <c r="X20" s="389">
        <v>0.80988294216993773</v>
      </c>
      <c r="Y20" s="392">
        <v>100380</v>
      </c>
      <c r="Z20" s="392">
        <v>102016</v>
      </c>
      <c r="AA20" s="392">
        <v>202396</v>
      </c>
      <c r="AB20" s="425">
        <v>98440</v>
      </c>
      <c r="AC20" s="425">
        <v>100420</v>
      </c>
      <c r="AD20" s="425">
        <v>198860</v>
      </c>
      <c r="AE20" s="425">
        <v>58000</v>
      </c>
      <c r="AF20" s="425">
        <v>68838</v>
      </c>
      <c r="AG20" s="425">
        <v>126838</v>
      </c>
      <c r="AH20" s="389">
        <v>0.58919138561560336</v>
      </c>
      <c r="AI20" s="389">
        <v>0.68550089623580956</v>
      </c>
      <c r="AJ20" s="389">
        <v>0.63782560595393745</v>
      </c>
      <c r="AK20" s="391">
        <v>58000</v>
      </c>
      <c r="AL20" s="391">
        <v>68838</v>
      </c>
      <c r="AM20" s="391">
        <v>126838</v>
      </c>
      <c r="AN20" s="385">
        <v>37450</v>
      </c>
      <c r="AO20" s="386">
        <v>54546</v>
      </c>
      <c r="AP20" s="386">
        <v>91996</v>
      </c>
      <c r="AQ20" s="389">
        <v>0.64568965517241383</v>
      </c>
      <c r="AR20" s="389">
        <v>0.79238211452976559</v>
      </c>
      <c r="AS20" s="389">
        <v>0.72530314259133699</v>
      </c>
      <c r="AT20" s="390"/>
      <c r="AU20" s="390"/>
      <c r="AV20" s="390"/>
      <c r="AW20" s="390"/>
      <c r="AX20" s="390"/>
      <c r="AY20" s="390"/>
      <c r="AZ20" s="390"/>
      <c r="BA20" s="390"/>
      <c r="BB20" s="390"/>
      <c r="BC20" s="390"/>
      <c r="BD20" s="390"/>
      <c r="BE20" s="390"/>
      <c r="BF20" s="390"/>
      <c r="BG20" s="390"/>
      <c r="BH20" s="390"/>
      <c r="BI20" s="390"/>
      <c r="BJ20" s="390"/>
      <c r="BK20" s="390"/>
      <c r="BL20" s="390"/>
      <c r="BM20" s="390"/>
      <c r="BN20" s="390"/>
      <c r="BO20" s="392">
        <v>82260</v>
      </c>
      <c r="BP20" s="392">
        <v>51789</v>
      </c>
      <c r="BQ20" s="392">
        <v>134049</v>
      </c>
      <c r="BR20" s="425">
        <v>77411</v>
      </c>
      <c r="BS20" s="425">
        <v>50607</v>
      </c>
      <c r="BT20" s="425">
        <v>128018</v>
      </c>
      <c r="BU20" s="425">
        <v>66760</v>
      </c>
      <c r="BV20" s="425">
        <v>46796</v>
      </c>
      <c r="BW20" s="425">
        <v>113556</v>
      </c>
      <c r="BX20" s="389">
        <v>0.86240973505057417</v>
      </c>
      <c r="BY20" s="389">
        <v>0.92469421226312565</v>
      </c>
      <c r="BZ20" s="389">
        <v>0.88703151119373835</v>
      </c>
      <c r="CA20" s="391">
        <v>66760</v>
      </c>
      <c r="CB20" s="391">
        <v>46796</v>
      </c>
      <c r="CC20" s="391">
        <v>113556</v>
      </c>
      <c r="CD20" s="385">
        <v>58717</v>
      </c>
      <c r="CE20" s="386">
        <v>43978</v>
      </c>
      <c r="CF20" s="386">
        <v>102695</v>
      </c>
      <c r="CG20" s="389">
        <v>0.87952366686638705</v>
      </c>
      <c r="CH20" s="389">
        <v>0.93978117787845117</v>
      </c>
      <c r="CI20" s="389">
        <v>0.90435556025221031</v>
      </c>
      <c r="CJ20" s="390"/>
      <c r="CK20" s="390"/>
      <c r="CL20" s="390"/>
      <c r="CM20" s="390"/>
      <c r="CN20" s="390"/>
      <c r="CO20" s="390"/>
      <c r="CP20" s="390"/>
      <c r="CQ20" s="390"/>
      <c r="CR20" s="390"/>
      <c r="CS20" s="390"/>
      <c r="CT20" s="390"/>
      <c r="CU20" s="390"/>
      <c r="CV20" s="390"/>
      <c r="CW20" s="390"/>
      <c r="CX20" s="390"/>
      <c r="CY20" s="390"/>
      <c r="CZ20" s="390"/>
      <c r="DA20" s="390"/>
      <c r="DB20" s="390"/>
      <c r="DC20" s="390"/>
      <c r="DD20" s="390"/>
      <c r="EF20" s="376"/>
      <c r="EG20" s="376"/>
    </row>
    <row r="21" spans="1:140" ht="41.25" customHeight="1" x14ac:dyDescent="0.25">
      <c r="A21" s="423">
        <v>15</v>
      </c>
      <c r="B21" s="461" t="s">
        <v>367</v>
      </c>
      <c r="C21" s="424" t="s">
        <v>368</v>
      </c>
      <c r="D21" s="392">
        <v>46914</v>
      </c>
      <c r="E21" s="392">
        <v>43271</v>
      </c>
      <c r="F21" s="392">
        <v>90185</v>
      </c>
      <c r="G21" s="392">
        <v>46549</v>
      </c>
      <c r="H21" s="392">
        <v>43006</v>
      </c>
      <c r="I21" s="392">
        <v>89555</v>
      </c>
      <c r="J21" s="392">
        <v>39570</v>
      </c>
      <c r="K21" s="392">
        <v>39038</v>
      </c>
      <c r="L21" s="392">
        <v>78608</v>
      </c>
      <c r="M21" s="389">
        <v>0.85007196717437539</v>
      </c>
      <c r="N21" s="389">
        <v>0.90773380458540665</v>
      </c>
      <c r="O21" s="389">
        <v>0.87776226899670595</v>
      </c>
      <c r="P21" s="388">
        <v>39570</v>
      </c>
      <c r="Q21" s="388">
        <v>39038</v>
      </c>
      <c r="R21" s="388">
        <v>78608</v>
      </c>
      <c r="S21" s="388">
        <v>30412</v>
      </c>
      <c r="T21" s="388">
        <v>33614</v>
      </c>
      <c r="U21" s="388">
        <v>64026</v>
      </c>
      <c r="V21" s="389">
        <v>0.768562041950973</v>
      </c>
      <c r="W21" s="389">
        <v>0.86105845586351759</v>
      </c>
      <c r="X21" s="389">
        <v>0.81449725218807245</v>
      </c>
      <c r="Y21" s="391">
        <v>34308</v>
      </c>
      <c r="Z21" s="391">
        <v>33825</v>
      </c>
      <c r="AA21" s="391">
        <v>68133</v>
      </c>
      <c r="AB21" s="391">
        <v>34015</v>
      </c>
      <c r="AC21" s="391">
        <v>33588</v>
      </c>
      <c r="AD21" s="391">
        <v>67603</v>
      </c>
      <c r="AE21" s="391">
        <v>27684</v>
      </c>
      <c r="AF21" s="391">
        <v>29799</v>
      </c>
      <c r="AG21" s="391">
        <v>57483</v>
      </c>
      <c r="AH21" s="389">
        <v>0.81387623107452589</v>
      </c>
      <c r="AI21" s="389">
        <v>0.88719185423365488</v>
      </c>
      <c r="AJ21" s="389">
        <v>0.85030250136828245</v>
      </c>
      <c r="AK21" s="391">
        <v>27684</v>
      </c>
      <c r="AL21" s="391">
        <v>29799</v>
      </c>
      <c r="AM21" s="391">
        <v>57483</v>
      </c>
      <c r="AN21" s="391">
        <v>19485</v>
      </c>
      <c r="AO21" s="391">
        <v>24622</v>
      </c>
      <c r="AP21" s="391">
        <v>44107</v>
      </c>
      <c r="AQ21" s="389">
        <v>0.70383615084525353</v>
      </c>
      <c r="AR21" s="389">
        <v>0.82626933789724488</v>
      </c>
      <c r="AS21" s="389">
        <v>0.76730511629525255</v>
      </c>
      <c r="AT21" s="390"/>
      <c r="AU21" s="390"/>
      <c r="AV21" s="390"/>
      <c r="AW21" s="390"/>
      <c r="AX21" s="390"/>
      <c r="AY21" s="390"/>
      <c r="AZ21" s="390"/>
      <c r="BA21" s="390"/>
      <c r="BB21" s="390"/>
      <c r="BC21" s="390"/>
      <c r="BD21" s="390"/>
      <c r="BE21" s="390"/>
      <c r="BF21" s="390"/>
      <c r="BG21" s="390"/>
      <c r="BH21" s="390"/>
      <c r="BI21" s="390"/>
      <c r="BJ21" s="390"/>
      <c r="BK21" s="390"/>
      <c r="BL21" s="390"/>
      <c r="BM21" s="390"/>
      <c r="BN21" s="390"/>
      <c r="BO21" s="391">
        <v>12606</v>
      </c>
      <c r="BP21" s="391">
        <v>9446</v>
      </c>
      <c r="BQ21" s="391">
        <v>22052</v>
      </c>
      <c r="BR21" s="391">
        <v>12534</v>
      </c>
      <c r="BS21" s="391">
        <v>9418</v>
      </c>
      <c r="BT21" s="391">
        <v>21952</v>
      </c>
      <c r="BU21" s="391">
        <v>11886</v>
      </c>
      <c r="BV21" s="391">
        <v>9239</v>
      </c>
      <c r="BW21" s="391">
        <v>21125</v>
      </c>
      <c r="BX21" s="389">
        <v>0.94830062230732404</v>
      </c>
      <c r="BY21" s="389">
        <v>0.98099384157995329</v>
      </c>
      <c r="BZ21" s="389">
        <v>0.96232689504373181</v>
      </c>
      <c r="CA21" s="391">
        <v>11886</v>
      </c>
      <c r="CB21" s="391">
        <v>9239</v>
      </c>
      <c r="CC21" s="391">
        <v>21125</v>
      </c>
      <c r="CD21" s="391">
        <v>10927</v>
      </c>
      <c r="CE21" s="391">
        <v>8992</v>
      </c>
      <c r="CF21" s="391">
        <v>19919</v>
      </c>
      <c r="CG21" s="389">
        <v>0.91931684334511188</v>
      </c>
      <c r="CH21" s="389">
        <v>0.97326550492477537</v>
      </c>
      <c r="CI21" s="389">
        <v>0.9429112426035503</v>
      </c>
      <c r="CJ21" s="390"/>
      <c r="CK21" s="390"/>
      <c r="CL21" s="390"/>
      <c r="CM21" s="390"/>
      <c r="CN21" s="390"/>
      <c r="CO21" s="390"/>
      <c r="CP21" s="390"/>
      <c r="CQ21" s="390"/>
      <c r="CR21" s="390"/>
      <c r="CS21" s="390"/>
      <c r="CT21" s="390"/>
      <c r="CU21" s="390"/>
      <c r="CV21" s="390"/>
      <c r="CW21" s="390"/>
      <c r="CX21" s="390"/>
      <c r="CY21" s="390"/>
      <c r="CZ21" s="390"/>
      <c r="DA21" s="390"/>
      <c r="DB21" s="390"/>
      <c r="DC21" s="390"/>
      <c r="DD21" s="390"/>
    </row>
    <row r="22" spans="1:140" ht="42.75" customHeight="1" x14ac:dyDescent="0.25">
      <c r="A22" s="423">
        <v>16</v>
      </c>
      <c r="B22" s="461" t="s">
        <v>370</v>
      </c>
      <c r="C22" s="424" t="s">
        <v>369</v>
      </c>
      <c r="D22" s="392">
        <v>49614</v>
      </c>
      <c r="E22" s="392">
        <v>37644</v>
      </c>
      <c r="F22" s="392">
        <v>87258</v>
      </c>
      <c r="G22" s="392">
        <v>49614</v>
      </c>
      <c r="H22" s="392">
        <v>37644</v>
      </c>
      <c r="I22" s="392">
        <v>87258</v>
      </c>
      <c r="J22" s="392">
        <v>29220</v>
      </c>
      <c r="K22" s="392">
        <v>24917</v>
      </c>
      <c r="L22" s="392">
        <v>54137</v>
      </c>
      <c r="M22" s="389">
        <v>0.58894666827911479</v>
      </c>
      <c r="N22" s="389">
        <v>0.66191159281691636</v>
      </c>
      <c r="O22" s="389">
        <v>0.62042448829906716</v>
      </c>
      <c r="P22" s="388">
        <v>29220</v>
      </c>
      <c r="Q22" s="388">
        <v>24917</v>
      </c>
      <c r="R22" s="388">
        <v>54137</v>
      </c>
      <c r="S22" s="388">
        <v>19144</v>
      </c>
      <c r="T22" s="388">
        <v>17236</v>
      </c>
      <c r="U22" s="388">
        <v>36380</v>
      </c>
      <c r="V22" s="389">
        <v>0.65516769336071179</v>
      </c>
      <c r="W22" s="389">
        <v>0.69173656539711847</v>
      </c>
      <c r="X22" s="389">
        <v>0.67199881781406434</v>
      </c>
      <c r="Y22" s="391">
        <v>32276</v>
      </c>
      <c r="Z22" s="391">
        <v>26279</v>
      </c>
      <c r="AA22" s="391">
        <v>58555</v>
      </c>
      <c r="AB22" s="391">
        <v>32276</v>
      </c>
      <c r="AC22" s="391">
        <v>26279</v>
      </c>
      <c r="AD22" s="391">
        <v>58555</v>
      </c>
      <c r="AE22" s="391">
        <v>14758</v>
      </c>
      <c r="AF22" s="391">
        <v>14801</v>
      </c>
      <c r="AG22" s="391">
        <v>29559</v>
      </c>
      <c r="AH22" s="389">
        <v>0.45724377246251086</v>
      </c>
      <c r="AI22" s="389">
        <v>0.56322538909395337</v>
      </c>
      <c r="AJ22" s="389">
        <v>0.50480744599094873</v>
      </c>
      <c r="AK22" s="391">
        <v>14758</v>
      </c>
      <c r="AL22" s="391">
        <v>14801</v>
      </c>
      <c r="AM22" s="391">
        <v>29559</v>
      </c>
      <c r="AN22" s="391">
        <v>7197</v>
      </c>
      <c r="AO22" s="391">
        <v>8133</v>
      </c>
      <c r="AP22" s="391">
        <v>15330</v>
      </c>
      <c r="AQ22" s="389">
        <v>0.48766770565117223</v>
      </c>
      <c r="AR22" s="389">
        <v>0.54948989933112624</v>
      </c>
      <c r="AS22" s="389">
        <v>0.51862376941033184</v>
      </c>
      <c r="AT22" s="390"/>
      <c r="AU22" s="390"/>
      <c r="AV22" s="390"/>
      <c r="AW22" s="390"/>
      <c r="AX22" s="390"/>
      <c r="AY22" s="390"/>
      <c r="AZ22" s="390"/>
      <c r="BA22" s="390"/>
      <c r="BB22" s="390"/>
      <c r="BC22" s="390"/>
      <c r="BD22" s="390"/>
      <c r="BE22" s="390"/>
      <c r="BF22" s="390"/>
      <c r="BG22" s="390"/>
      <c r="BH22" s="390"/>
      <c r="BI22" s="390"/>
      <c r="BJ22" s="390"/>
      <c r="BK22" s="390"/>
      <c r="BL22" s="390"/>
      <c r="BM22" s="390"/>
      <c r="BN22" s="390"/>
      <c r="BO22" s="391">
        <v>17338</v>
      </c>
      <c r="BP22" s="391">
        <v>11365</v>
      </c>
      <c r="BQ22" s="391">
        <v>28703</v>
      </c>
      <c r="BR22" s="391">
        <v>17338</v>
      </c>
      <c r="BS22" s="391">
        <v>11365</v>
      </c>
      <c r="BT22" s="391">
        <v>28703</v>
      </c>
      <c r="BU22" s="391">
        <v>14462</v>
      </c>
      <c r="BV22" s="391">
        <v>10116</v>
      </c>
      <c r="BW22" s="391">
        <v>24578</v>
      </c>
      <c r="BX22" s="389">
        <v>0.83412158265082481</v>
      </c>
      <c r="BY22" s="389">
        <v>0.89010118785745707</v>
      </c>
      <c r="BZ22" s="389">
        <v>0.85628679928927287</v>
      </c>
      <c r="CA22" s="391">
        <v>14462</v>
      </c>
      <c r="CB22" s="391">
        <v>10116</v>
      </c>
      <c r="CC22" s="391">
        <v>24578</v>
      </c>
      <c r="CD22" s="391">
        <v>11947</v>
      </c>
      <c r="CE22" s="391">
        <v>9103</v>
      </c>
      <c r="CF22" s="391">
        <v>21050</v>
      </c>
      <c r="CG22" s="389">
        <v>0.82609597566035131</v>
      </c>
      <c r="CH22" s="389">
        <v>0.89986160537761961</v>
      </c>
      <c r="CI22" s="389">
        <v>0.85645699405972819</v>
      </c>
      <c r="CJ22" s="390"/>
      <c r="CK22" s="390"/>
      <c r="CL22" s="390"/>
      <c r="CM22" s="390"/>
      <c r="CN22" s="390"/>
      <c r="CO22" s="390"/>
      <c r="CP22" s="390"/>
      <c r="CQ22" s="390"/>
      <c r="CR22" s="390"/>
      <c r="CS22" s="390"/>
      <c r="CT22" s="390"/>
      <c r="CU22" s="390"/>
      <c r="CV22" s="390"/>
      <c r="CW22" s="390"/>
      <c r="CX22" s="390"/>
      <c r="CY22" s="390"/>
      <c r="CZ22" s="390"/>
      <c r="DA22" s="390"/>
      <c r="DB22" s="390"/>
      <c r="DC22" s="390"/>
      <c r="DD22" s="390"/>
    </row>
    <row r="23" spans="1:140" ht="35.25" customHeight="1" x14ac:dyDescent="0.25">
      <c r="A23" s="423">
        <v>17</v>
      </c>
      <c r="B23" s="450" t="s">
        <v>371</v>
      </c>
      <c r="C23" s="424" t="s">
        <v>152</v>
      </c>
      <c r="D23" s="426">
        <v>187742</v>
      </c>
      <c r="E23" s="426">
        <v>212178</v>
      </c>
      <c r="F23" s="426">
        <v>399920</v>
      </c>
      <c r="G23" s="426">
        <v>183598</v>
      </c>
      <c r="H23" s="426">
        <v>207510</v>
      </c>
      <c r="I23" s="426">
        <v>391108</v>
      </c>
      <c r="J23" s="426">
        <v>176014</v>
      </c>
      <c r="K23" s="426">
        <v>198599</v>
      </c>
      <c r="L23" s="426">
        <v>374613</v>
      </c>
      <c r="M23" s="389">
        <v>0.9586923604832297</v>
      </c>
      <c r="N23" s="389">
        <v>0.95705749120524308</v>
      </c>
      <c r="O23" s="389">
        <v>0.95782494860754575</v>
      </c>
      <c r="P23" s="388">
        <v>176014</v>
      </c>
      <c r="Q23" s="388">
        <v>198599</v>
      </c>
      <c r="R23" s="388">
        <v>374613</v>
      </c>
      <c r="S23" s="388">
        <v>108447</v>
      </c>
      <c r="T23" s="388">
        <v>117744</v>
      </c>
      <c r="U23" s="388">
        <v>226191</v>
      </c>
      <c r="V23" s="389">
        <v>0.61612712625132093</v>
      </c>
      <c r="W23" s="389">
        <v>0.59287307589665605</v>
      </c>
      <c r="X23" s="389">
        <v>0.6037991206925547</v>
      </c>
      <c r="Y23" s="393"/>
      <c r="Z23" s="393"/>
      <c r="AA23" s="393"/>
      <c r="AB23" s="393"/>
      <c r="AC23" s="393"/>
      <c r="AD23" s="393"/>
      <c r="AE23" s="393"/>
      <c r="AF23" s="393"/>
      <c r="AG23" s="393"/>
      <c r="AH23" s="390"/>
      <c r="AI23" s="390"/>
      <c r="AJ23" s="390"/>
      <c r="AK23" s="390"/>
      <c r="AL23" s="390"/>
      <c r="AM23" s="390"/>
      <c r="AN23" s="390"/>
      <c r="AO23" s="390"/>
      <c r="AP23" s="390"/>
      <c r="AQ23" s="390"/>
      <c r="AR23" s="390"/>
      <c r="AS23" s="390"/>
      <c r="AT23" s="390"/>
      <c r="AU23" s="390"/>
      <c r="AV23" s="390"/>
      <c r="AW23" s="390"/>
      <c r="AX23" s="390"/>
      <c r="AY23" s="390"/>
      <c r="AZ23" s="390"/>
      <c r="BA23" s="390"/>
      <c r="BB23" s="390"/>
      <c r="BC23" s="390"/>
      <c r="BD23" s="390"/>
      <c r="BE23" s="390"/>
      <c r="BF23" s="390"/>
      <c r="BG23" s="390"/>
      <c r="BH23" s="390"/>
      <c r="BI23" s="390"/>
      <c r="BJ23" s="390"/>
      <c r="BK23" s="390"/>
      <c r="BL23" s="390"/>
      <c r="BM23" s="390"/>
      <c r="BN23" s="390"/>
      <c r="BO23" s="390"/>
      <c r="BP23" s="390"/>
      <c r="BQ23" s="390"/>
      <c r="BR23" s="390"/>
      <c r="BS23" s="390"/>
      <c r="BT23" s="390"/>
      <c r="BU23" s="390"/>
      <c r="BV23" s="390"/>
      <c r="BW23" s="390"/>
      <c r="BX23" s="390"/>
      <c r="BY23" s="390"/>
      <c r="BZ23" s="390"/>
      <c r="CA23" s="390"/>
      <c r="CB23" s="390"/>
      <c r="CC23" s="390"/>
      <c r="CD23" s="390"/>
      <c r="CE23" s="390"/>
      <c r="CF23" s="390"/>
      <c r="CG23" s="390"/>
      <c r="CH23" s="390"/>
      <c r="CI23" s="390"/>
      <c r="CJ23" s="390"/>
      <c r="CK23" s="390"/>
      <c r="CL23" s="390"/>
      <c r="CM23" s="390"/>
      <c r="CN23" s="390"/>
      <c r="CO23" s="390"/>
      <c r="CP23" s="390"/>
      <c r="CQ23" s="390"/>
      <c r="CR23" s="390"/>
      <c r="CS23" s="390"/>
      <c r="CT23" s="390"/>
      <c r="CU23" s="390"/>
      <c r="CV23" s="390"/>
      <c r="CW23" s="390"/>
      <c r="CX23" s="390"/>
      <c r="CY23" s="390"/>
      <c r="CZ23" s="390"/>
      <c r="DA23" s="390"/>
      <c r="DB23" s="390"/>
      <c r="DC23" s="390"/>
      <c r="DD23" s="390"/>
    </row>
    <row r="24" spans="1:140" ht="34.5" customHeight="1" x14ac:dyDescent="0.25">
      <c r="A24" s="423">
        <v>18</v>
      </c>
      <c r="B24" s="450" t="s">
        <v>372</v>
      </c>
      <c r="C24" s="424" t="s">
        <v>153</v>
      </c>
      <c r="D24" s="392">
        <v>516194</v>
      </c>
      <c r="E24" s="392">
        <v>452485</v>
      </c>
      <c r="F24" s="392">
        <v>968679</v>
      </c>
      <c r="G24" s="392">
        <v>504477</v>
      </c>
      <c r="H24" s="392">
        <v>443627</v>
      </c>
      <c r="I24" s="392">
        <v>948104</v>
      </c>
      <c r="J24" s="392">
        <v>383389</v>
      </c>
      <c r="K24" s="392">
        <v>386661</v>
      </c>
      <c r="L24" s="392">
        <v>770050</v>
      </c>
      <c r="M24" s="389">
        <v>0.75997319996749113</v>
      </c>
      <c r="N24" s="389">
        <v>0.87159032250065938</v>
      </c>
      <c r="O24" s="389">
        <v>0.81219992743412117</v>
      </c>
      <c r="P24" s="388">
        <v>383389</v>
      </c>
      <c r="Q24" s="388">
        <v>386661</v>
      </c>
      <c r="R24" s="388">
        <v>770050</v>
      </c>
      <c r="S24" s="388">
        <v>292820</v>
      </c>
      <c r="T24" s="388">
        <v>334446</v>
      </c>
      <c r="U24" s="388">
        <v>627266</v>
      </c>
      <c r="V24" s="389">
        <v>0.76376734856764283</v>
      </c>
      <c r="W24" s="389">
        <v>0.86495922785075297</v>
      </c>
      <c r="X24" s="389">
        <v>0.81457827413804296</v>
      </c>
      <c r="Y24" s="391">
        <v>217973</v>
      </c>
      <c r="Z24" s="391">
        <v>205568</v>
      </c>
      <c r="AA24" s="391">
        <v>423541</v>
      </c>
      <c r="AB24" s="391">
        <v>211490</v>
      </c>
      <c r="AC24" s="391">
        <v>200071</v>
      </c>
      <c r="AD24" s="391">
        <v>411561</v>
      </c>
      <c r="AE24" s="391">
        <v>151064</v>
      </c>
      <c r="AF24" s="391">
        <v>169722</v>
      </c>
      <c r="AG24" s="391">
        <v>320786</v>
      </c>
      <c r="AH24" s="389">
        <v>0.71428436332687129</v>
      </c>
      <c r="AI24" s="389">
        <v>0.84830885035812287</v>
      </c>
      <c r="AJ24" s="389">
        <v>0.77943731305930353</v>
      </c>
      <c r="AK24" s="391">
        <v>151064</v>
      </c>
      <c r="AL24" s="391">
        <v>169722</v>
      </c>
      <c r="AM24" s="391">
        <v>320786</v>
      </c>
      <c r="AN24" s="391">
        <v>108445</v>
      </c>
      <c r="AO24" s="391">
        <v>142432</v>
      </c>
      <c r="AP24" s="391">
        <v>250877</v>
      </c>
      <c r="AQ24" s="389">
        <v>0.71787454323995126</v>
      </c>
      <c r="AR24" s="389">
        <v>0.83920764544372561</v>
      </c>
      <c r="AS24" s="389">
        <v>0.7820696663819493</v>
      </c>
      <c r="AT24" s="391">
        <v>132001</v>
      </c>
      <c r="AU24" s="391">
        <v>117891</v>
      </c>
      <c r="AV24" s="391">
        <v>249892</v>
      </c>
      <c r="AW24" s="391">
        <v>128917</v>
      </c>
      <c r="AX24" s="391">
        <v>115877</v>
      </c>
      <c r="AY24" s="391">
        <v>244794</v>
      </c>
      <c r="AZ24" s="391">
        <v>95399</v>
      </c>
      <c r="BA24" s="391">
        <v>99969</v>
      </c>
      <c r="BB24" s="391">
        <v>195368</v>
      </c>
      <c r="BC24" s="389">
        <v>0.74000325791012822</v>
      </c>
      <c r="BD24" s="389">
        <v>0.86271650111756426</v>
      </c>
      <c r="BE24" s="389">
        <v>0.79809145648994662</v>
      </c>
      <c r="BF24" s="391">
        <v>95399</v>
      </c>
      <c r="BG24" s="391">
        <v>99969</v>
      </c>
      <c r="BH24" s="391">
        <v>195368</v>
      </c>
      <c r="BI24" s="391">
        <v>68128</v>
      </c>
      <c r="BJ24" s="391">
        <v>84060</v>
      </c>
      <c r="BK24" s="391">
        <v>152188</v>
      </c>
      <c r="BL24" s="389">
        <v>0.71413746475329931</v>
      </c>
      <c r="BM24" s="389">
        <v>0.84086066680671012</v>
      </c>
      <c r="BN24" s="389">
        <v>0.77898120470087218</v>
      </c>
      <c r="BO24" s="391">
        <v>166220</v>
      </c>
      <c r="BP24" s="391">
        <v>129026</v>
      </c>
      <c r="BQ24" s="391">
        <v>295246</v>
      </c>
      <c r="BR24" s="391">
        <v>164070</v>
      </c>
      <c r="BS24" s="391">
        <v>127679</v>
      </c>
      <c r="BT24" s="391">
        <v>291749</v>
      </c>
      <c r="BU24" s="391">
        <v>136926</v>
      </c>
      <c r="BV24" s="391">
        <v>116970</v>
      </c>
      <c r="BW24" s="391">
        <v>253896</v>
      </c>
      <c r="BX24" s="389">
        <v>0.83455842018650572</v>
      </c>
      <c r="BY24" s="389">
        <v>0.91612559622177492</v>
      </c>
      <c r="BZ24" s="389">
        <v>0.87025491089943752</v>
      </c>
      <c r="CA24" s="391">
        <v>136926</v>
      </c>
      <c r="CB24" s="391">
        <v>116970</v>
      </c>
      <c r="CC24" s="391">
        <v>253896</v>
      </c>
      <c r="CD24" s="391">
        <v>116247</v>
      </c>
      <c r="CE24" s="391">
        <v>107954</v>
      </c>
      <c r="CF24" s="391">
        <v>224201</v>
      </c>
      <c r="CG24" s="389">
        <v>0.84897681959598614</v>
      </c>
      <c r="CH24" s="389">
        <v>0.92292040694195088</v>
      </c>
      <c r="CI24" s="389">
        <v>0.88304266313766266</v>
      </c>
      <c r="CJ24" s="390"/>
      <c r="CK24" s="390"/>
      <c r="CL24" s="390"/>
      <c r="CM24" s="390"/>
      <c r="CN24" s="390"/>
      <c r="CO24" s="390"/>
      <c r="CP24" s="390"/>
      <c r="CQ24" s="390"/>
      <c r="CR24" s="390"/>
      <c r="CS24" s="390"/>
      <c r="CT24" s="390"/>
      <c r="CU24" s="390"/>
      <c r="CV24" s="390"/>
      <c r="CW24" s="390"/>
      <c r="CX24" s="390"/>
      <c r="CY24" s="390"/>
      <c r="CZ24" s="390"/>
      <c r="DA24" s="390"/>
      <c r="DB24" s="390"/>
      <c r="DC24" s="390"/>
      <c r="DD24" s="390"/>
    </row>
    <row r="25" spans="1:140" ht="40.5" customHeight="1" x14ac:dyDescent="0.25">
      <c r="A25" s="423">
        <v>19</v>
      </c>
      <c r="B25" s="450" t="s">
        <v>373</v>
      </c>
      <c r="C25" s="424" t="s">
        <v>286</v>
      </c>
      <c r="D25" s="392">
        <v>219212</v>
      </c>
      <c r="E25" s="392">
        <v>208196</v>
      </c>
      <c r="F25" s="392">
        <v>427408</v>
      </c>
      <c r="G25" s="392">
        <v>218870</v>
      </c>
      <c r="H25" s="392">
        <v>208008</v>
      </c>
      <c r="I25" s="392">
        <v>426878</v>
      </c>
      <c r="J25" s="392">
        <v>218436</v>
      </c>
      <c r="K25" s="392">
        <v>207793</v>
      </c>
      <c r="L25" s="392">
        <v>426229</v>
      </c>
      <c r="M25" s="389">
        <v>0.99801708776899534</v>
      </c>
      <c r="N25" s="389">
        <v>0.99896638590823428</v>
      </c>
      <c r="O25" s="389">
        <v>0.99847965929375604</v>
      </c>
      <c r="P25" s="388">
        <v>218436</v>
      </c>
      <c r="Q25" s="388">
        <v>207793</v>
      </c>
      <c r="R25" s="388">
        <v>426229</v>
      </c>
      <c r="S25" s="388">
        <v>173700</v>
      </c>
      <c r="T25" s="388">
        <v>189397</v>
      </c>
      <c r="U25" s="388">
        <v>363097</v>
      </c>
      <c r="V25" s="389">
        <v>0.79519859363841128</v>
      </c>
      <c r="W25" s="389">
        <v>0.91146958752219753</v>
      </c>
      <c r="X25" s="389">
        <v>0.85188243878290781</v>
      </c>
      <c r="Y25" s="391">
        <v>72452</v>
      </c>
      <c r="Z25" s="391">
        <v>69272</v>
      </c>
      <c r="AA25" s="391">
        <v>141724</v>
      </c>
      <c r="AB25" s="391">
        <v>72324</v>
      </c>
      <c r="AC25" s="391">
        <v>69200</v>
      </c>
      <c r="AD25" s="391">
        <v>141524</v>
      </c>
      <c r="AE25" s="391">
        <v>72085</v>
      </c>
      <c r="AF25" s="391">
        <v>69086</v>
      </c>
      <c r="AG25" s="391">
        <v>141171</v>
      </c>
      <c r="AH25" s="389">
        <v>0.99669542613793483</v>
      </c>
      <c r="AI25" s="389">
        <v>0.99835260115606939</v>
      </c>
      <c r="AJ25" s="389">
        <v>0.99750572341087029</v>
      </c>
      <c r="AK25" s="391">
        <v>72085</v>
      </c>
      <c r="AL25" s="391">
        <v>69086</v>
      </c>
      <c r="AM25" s="391">
        <v>141171</v>
      </c>
      <c r="AN25" s="391">
        <v>53796</v>
      </c>
      <c r="AO25" s="391">
        <v>61148</v>
      </c>
      <c r="AP25" s="391">
        <v>114944</v>
      </c>
      <c r="AQ25" s="389">
        <v>0.7462856350142193</v>
      </c>
      <c r="AR25" s="389">
        <v>0.88509973077034421</v>
      </c>
      <c r="AS25" s="389">
        <v>0.81421821762259949</v>
      </c>
      <c r="AT25" s="391">
        <v>131213</v>
      </c>
      <c r="AU25" s="391">
        <v>124912</v>
      </c>
      <c r="AV25" s="391">
        <v>256125</v>
      </c>
      <c r="AW25" s="391">
        <v>131020</v>
      </c>
      <c r="AX25" s="391">
        <v>124804</v>
      </c>
      <c r="AY25" s="391">
        <v>255824</v>
      </c>
      <c r="AZ25" s="391">
        <v>130832</v>
      </c>
      <c r="BA25" s="391">
        <v>124708</v>
      </c>
      <c r="BB25" s="391">
        <v>255540</v>
      </c>
      <c r="BC25" s="389">
        <v>0.99856510456418868</v>
      </c>
      <c r="BD25" s="389">
        <v>0.9992307938848114</v>
      </c>
      <c r="BE25" s="389">
        <v>0.99888986177997374</v>
      </c>
      <c r="BF25" s="391">
        <v>130832</v>
      </c>
      <c r="BG25" s="391">
        <v>124708</v>
      </c>
      <c r="BH25" s="391">
        <v>255540</v>
      </c>
      <c r="BI25" s="391">
        <v>105261</v>
      </c>
      <c r="BJ25" s="391">
        <v>114441</v>
      </c>
      <c r="BK25" s="391">
        <v>219702</v>
      </c>
      <c r="BL25" s="389">
        <v>0.80455087440381556</v>
      </c>
      <c r="BM25" s="389">
        <v>0.91767168104692565</v>
      </c>
      <c r="BN25" s="389">
        <v>0.85975581122329181</v>
      </c>
      <c r="BO25" s="391">
        <v>15547</v>
      </c>
      <c r="BP25" s="391">
        <v>14012</v>
      </c>
      <c r="BQ25" s="391">
        <v>29559</v>
      </c>
      <c r="BR25" s="391">
        <v>15526</v>
      </c>
      <c r="BS25" s="391">
        <v>14004</v>
      </c>
      <c r="BT25" s="391">
        <v>29530</v>
      </c>
      <c r="BU25" s="391">
        <v>15519</v>
      </c>
      <c r="BV25" s="391">
        <v>13999</v>
      </c>
      <c r="BW25" s="391">
        <v>29518</v>
      </c>
      <c r="BX25" s="389">
        <v>0.99954914337240752</v>
      </c>
      <c r="BY25" s="389">
        <v>0.99964295915452728</v>
      </c>
      <c r="BZ25" s="389">
        <v>0.99959363359295628</v>
      </c>
      <c r="CA25" s="391">
        <v>15519</v>
      </c>
      <c r="CB25" s="391">
        <v>13999</v>
      </c>
      <c r="CC25" s="391">
        <v>29518</v>
      </c>
      <c r="CD25" s="391">
        <v>14643</v>
      </c>
      <c r="CE25" s="391">
        <v>13808</v>
      </c>
      <c r="CF25" s="391">
        <v>28451</v>
      </c>
      <c r="CG25" s="389">
        <v>0.94355306398608163</v>
      </c>
      <c r="CH25" s="389">
        <v>0.98635616829773554</v>
      </c>
      <c r="CI25" s="389">
        <v>0.96385256453689272</v>
      </c>
      <c r="CJ25" s="390"/>
      <c r="CK25" s="390"/>
      <c r="CL25" s="390"/>
      <c r="CM25" s="390"/>
      <c r="CN25" s="390"/>
      <c r="CO25" s="390"/>
      <c r="CP25" s="390"/>
      <c r="CQ25" s="390"/>
      <c r="CR25" s="390"/>
      <c r="CS25" s="390"/>
      <c r="CT25" s="390"/>
      <c r="CU25" s="390"/>
      <c r="CV25" s="390"/>
      <c r="CW25" s="390"/>
      <c r="CX25" s="390"/>
      <c r="CY25" s="390"/>
      <c r="CZ25" s="390"/>
      <c r="DA25" s="390"/>
      <c r="DB25" s="390"/>
      <c r="DC25" s="390"/>
      <c r="DD25" s="390"/>
    </row>
    <row r="26" spans="1:140" s="377" customFormat="1" ht="39" customHeight="1" x14ac:dyDescent="0.25">
      <c r="A26" s="423">
        <v>20</v>
      </c>
      <c r="B26" s="487" t="s">
        <v>375</v>
      </c>
      <c r="C26" s="424" t="s">
        <v>349</v>
      </c>
      <c r="D26" s="392">
        <v>569570</v>
      </c>
      <c r="E26" s="392">
        <v>497404</v>
      </c>
      <c r="F26" s="392">
        <v>1066974</v>
      </c>
      <c r="G26" s="392">
        <v>545458</v>
      </c>
      <c r="H26" s="392">
        <v>484660</v>
      </c>
      <c r="I26" s="392">
        <v>1030118</v>
      </c>
      <c r="J26" s="392">
        <v>317353</v>
      </c>
      <c r="K26" s="392">
        <v>314726</v>
      </c>
      <c r="L26" s="392">
        <v>632079</v>
      </c>
      <c r="M26" s="389">
        <v>0.58181014853572599</v>
      </c>
      <c r="N26" s="389">
        <v>0.64937481946106546</v>
      </c>
      <c r="O26" s="389">
        <v>0.6135986362727377</v>
      </c>
      <c r="P26" s="388">
        <v>317353</v>
      </c>
      <c r="Q26" s="388">
        <v>314726</v>
      </c>
      <c r="R26" s="388">
        <v>632079</v>
      </c>
      <c r="S26" s="388">
        <v>165966</v>
      </c>
      <c r="T26" s="388">
        <v>192235</v>
      </c>
      <c r="U26" s="388">
        <v>358201</v>
      </c>
      <c r="V26" s="389">
        <v>0.52296968990367199</v>
      </c>
      <c r="W26" s="389">
        <v>0.61080114131021901</v>
      </c>
      <c r="X26" s="389">
        <v>0.56670289631517579</v>
      </c>
      <c r="Y26" s="391">
        <v>385457</v>
      </c>
      <c r="Z26" s="391">
        <v>374077</v>
      </c>
      <c r="AA26" s="391">
        <v>759534</v>
      </c>
      <c r="AB26" s="391">
        <v>367649</v>
      </c>
      <c r="AC26" s="391">
        <v>364113</v>
      </c>
      <c r="AD26" s="391">
        <v>731762</v>
      </c>
      <c r="AE26" s="391">
        <v>197208</v>
      </c>
      <c r="AF26" s="391">
        <v>221675</v>
      </c>
      <c r="AG26" s="391">
        <v>418883</v>
      </c>
      <c r="AH26" s="389">
        <v>0.53640292779254128</v>
      </c>
      <c r="AI26" s="389">
        <v>0.60880825458030885</v>
      </c>
      <c r="AJ26" s="389">
        <v>0.57243065368248147</v>
      </c>
      <c r="AK26" s="391">
        <v>197208</v>
      </c>
      <c r="AL26" s="391">
        <v>221675</v>
      </c>
      <c r="AM26" s="391">
        <v>418883</v>
      </c>
      <c r="AN26" s="391">
        <v>90212</v>
      </c>
      <c r="AO26" s="391">
        <v>122760</v>
      </c>
      <c r="AP26" s="391">
        <v>212972</v>
      </c>
      <c r="AQ26" s="389">
        <v>0.45744594539775263</v>
      </c>
      <c r="AR26" s="389">
        <v>0.55378369234239311</v>
      </c>
      <c r="AS26" s="389">
        <v>0.50842836782586065</v>
      </c>
      <c r="AT26" s="390"/>
      <c r="AU26" s="390"/>
      <c r="AV26" s="390"/>
      <c r="AW26" s="390"/>
      <c r="AX26" s="390"/>
      <c r="AY26" s="390"/>
      <c r="AZ26" s="390"/>
      <c r="BA26" s="390"/>
      <c r="BB26" s="390"/>
      <c r="BC26" s="390"/>
      <c r="BD26" s="390"/>
      <c r="BE26" s="390"/>
      <c r="BF26" s="390"/>
      <c r="BG26" s="390"/>
      <c r="BH26" s="390"/>
      <c r="BI26" s="390"/>
      <c r="BJ26" s="390"/>
      <c r="BK26" s="390"/>
      <c r="BL26" s="390"/>
      <c r="BM26" s="390"/>
      <c r="BN26" s="390"/>
      <c r="BO26" s="391">
        <v>184113</v>
      </c>
      <c r="BP26" s="391">
        <v>123327</v>
      </c>
      <c r="BQ26" s="391">
        <v>307440</v>
      </c>
      <c r="BR26" s="391">
        <v>177809</v>
      </c>
      <c r="BS26" s="391">
        <v>120547</v>
      </c>
      <c r="BT26" s="391">
        <v>298356</v>
      </c>
      <c r="BU26" s="391">
        <v>120145</v>
      </c>
      <c r="BV26" s="391">
        <v>93051</v>
      </c>
      <c r="BW26" s="391">
        <v>213196</v>
      </c>
      <c r="BX26" s="389">
        <v>0.67569695572215127</v>
      </c>
      <c r="BY26" s="389">
        <v>0.77190639335694788</v>
      </c>
      <c r="BZ26" s="389">
        <v>0.71456917239807483</v>
      </c>
      <c r="CA26" s="391">
        <v>120145</v>
      </c>
      <c r="CB26" s="391">
        <v>93051</v>
      </c>
      <c r="CC26" s="391">
        <v>213196</v>
      </c>
      <c r="CD26" s="391">
        <v>75754</v>
      </c>
      <c r="CE26" s="391">
        <v>69475</v>
      </c>
      <c r="CF26" s="391">
        <v>145229</v>
      </c>
      <c r="CG26" s="389">
        <v>0.63052145324399689</v>
      </c>
      <c r="CH26" s="389">
        <v>0.74663356653877977</v>
      </c>
      <c r="CI26" s="389">
        <v>0.68119945965215112</v>
      </c>
      <c r="CJ26" s="390"/>
      <c r="CK26" s="390"/>
      <c r="CL26" s="390"/>
      <c r="CM26" s="390"/>
      <c r="CN26" s="390"/>
      <c r="CO26" s="390"/>
      <c r="CP26" s="390"/>
      <c r="CQ26" s="390"/>
      <c r="CR26" s="390"/>
      <c r="CS26" s="390"/>
      <c r="CT26" s="390"/>
      <c r="CU26" s="390"/>
      <c r="CV26" s="390"/>
      <c r="CW26" s="390"/>
      <c r="CX26" s="390"/>
      <c r="CY26" s="390"/>
      <c r="CZ26" s="390"/>
      <c r="DA26" s="390"/>
      <c r="DB26" s="390"/>
      <c r="DC26" s="390"/>
      <c r="DD26" s="390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H26"/>
      <c r="EI26"/>
      <c r="EJ26"/>
    </row>
    <row r="27" spans="1:140" s="362" customFormat="1" ht="51.75" customHeight="1" x14ac:dyDescent="0.25">
      <c r="A27" s="423">
        <v>21</v>
      </c>
      <c r="B27" s="487"/>
      <c r="C27" s="424" t="s">
        <v>157</v>
      </c>
      <c r="D27" s="392">
        <v>2336</v>
      </c>
      <c r="E27" s="392">
        <v>1068</v>
      </c>
      <c r="F27" s="392">
        <v>3404</v>
      </c>
      <c r="G27" s="392">
        <v>2204</v>
      </c>
      <c r="H27" s="392">
        <v>1022</v>
      </c>
      <c r="I27" s="392">
        <v>3226</v>
      </c>
      <c r="J27" s="392">
        <v>1553</v>
      </c>
      <c r="K27" s="392">
        <v>706</v>
      </c>
      <c r="L27" s="392">
        <v>2259</v>
      </c>
      <c r="M27" s="389">
        <v>0.70462794918330307</v>
      </c>
      <c r="N27" s="389">
        <v>0.69080234833659493</v>
      </c>
      <c r="O27" s="389">
        <v>0.7002479851208927</v>
      </c>
      <c r="P27" s="388">
        <v>1553</v>
      </c>
      <c r="Q27" s="388">
        <v>706</v>
      </c>
      <c r="R27" s="388">
        <v>2259</v>
      </c>
      <c r="S27" s="388">
        <v>1030</v>
      </c>
      <c r="T27" s="388">
        <v>481</v>
      </c>
      <c r="U27" s="388">
        <v>1511</v>
      </c>
      <c r="V27" s="389">
        <v>0.66323245331616232</v>
      </c>
      <c r="W27" s="389">
        <v>0.68130311614730876</v>
      </c>
      <c r="X27" s="389">
        <v>0.66888003541389995</v>
      </c>
      <c r="Y27" s="391">
        <v>197</v>
      </c>
      <c r="Z27" s="391">
        <v>106</v>
      </c>
      <c r="AA27" s="391">
        <v>303</v>
      </c>
      <c r="AB27" s="391">
        <v>174</v>
      </c>
      <c r="AC27" s="391">
        <v>102</v>
      </c>
      <c r="AD27" s="391">
        <v>276</v>
      </c>
      <c r="AE27" s="391">
        <v>84</v>
      </c>
      <c r="AF27" s="391">
        <v>63</v>
      </c>
      <c r="AG27" s="391">
        <v>147</v>
      </c>
      <c r="AH27" s="389">
        <v>0.48275862068965519</v>
      </c>
      <c r="AI27" s="389">
        <v>0.61764705882352944</v>
      </c>
      <c r="AJ27" s="389">
        <v>0.53260869565217395</v>
      </c>
      <c r="AK27" s="391">
        <v>84</v>
      </c>
      <c r="AL27" s="391">
        <v>63</v>
      </c>
      <c r="AM27" s="391">
        <v>147</v>
      </c>
      <c r="AN27" s="391">
        <v>21</v>
      </c>
      <c r="AO27" s="391">
        <v>29</v>
      </c>
      <c r="AP27" s="391">
        <v>50</v>
      </c>
      <c r="AQ27" s="389">
        <v>0.25</v>
      </c>
      <c r="AR27" s="389">
        <v>0.46031746031746029</v>
      </c>
      <c r="AS27" s="389">
        <v>0.3401360544217687</v>
      </c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  <c r="BK27" s="390"/>
      <c r="BL27" s="390"/>
      <c r="BM27" s="390"/>
      <c r="BN27" s="390"/>
      <c r="BO27" s="391">
        <v>2139</v>
      </c>
      <c r="BP27" s="391">
        <v>962</v>
      </c>
      <c r="BQ27" s="391">
        <v>3101</v>
      </c>
      <c r="BR27" s="391">
        <v>2030</v>
      </c>
      <c r="BS27" s="391">
        <v>920</v>
      </c>
      <c r="BT27" s="391">
        <v>2950</v>
      </c>
      <c r="BU27" s="391">
        <v>1469</v>
      </c>
      <c r="BV27" s="391">
        <v>643</v>
      </c>
      <c r="BW27" s="391">
        <v>2112</v>
      </c>
      <c r="BX27" s="389">
        <v>0.72364532019704431</v>
      </c>
      <c r="BY27" s="389">
        <v>0.69891304347826089</v>
      </c>
      <c r="BZ27" s="389">
        <v>0.71593220338983055</v>
      </c>
      <c r="CA27" s="391">
        <v>1469</v>
      </c>
      <c r="CB27" s="391">
        <v>643</v>
      </c>
      <c r="CC27" s="391">
        <v>2112</v>
      </c>
      <c r="CD27" s="391">
        <v>1009</v>
      </c>
      <c r="CE27" s="391">
        <v>452</v>
      </c>
      <c r="CF27" s="391">
        <v>1461</v>
      </c>
      <c r="CG27" s="389">
        <v>0.68686181075561603</v>
      </c>
      <c r="CH27" s="389">
        <v>0.70295489891135299</v>
      </c>
      <c r="CI27" s="389">
        <v>0.69176136363636365</v>
      </c>
      <c r="CJ27" s="390"/>
      <c r="CK27" s="390"/>
      <c r="CL27" s="390"/>
      <c r="CM27" s="390"/>
      <c r="CN27" s="390"/>
      <c r="CO27" s="390"/>
      <c r="CP27" s="390"/>
      <c r="CQ27" s="390"/>
      <c r="CR27" s="390"/>
      <c r="CS27" s="390"/>
      <c r="CT27" s="390"/>
      <c r="CU27" s="390"/>
      <c r="CV27" s="390"/>
      <c r="CW27" s="390"/>
      <c r="CX27" s="390"/>
      <c r="CY27" s="390"/>
      <c r="CZ27" s="390"/>
      <c r="DA27" s="390"/>
      <c r="DB27" s="390"/>
      <c r="DC27" s="390"/>
      <c r="DD27" s="390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H27"/>
      <c r="EI27"/>
      <c r="EJ27"/>
    </row>
    <row r="28" spans="1:140" ht="47.25" x14ac:dyDescent="0.25">
      <c r="A28" s="423">
        <v>22</v>
      </c>
      <c r="B28" s="450" t="s">
        <v>374</v>
      </c>
      <c r="C28" s="424" t="s">
        <v>348</v>
      </c>
      <c r="D28" s="392">
        <v>887369</v>
      </c>
      <c r="E28" s="392">
        <v>747495</v>
      </c>
      <c r="F28" s="392">
        <v>1634864</v>
      </c>
      <c r="G28" s="392">
        <v>877090</v>
      </c>
      <c r="H28" s="392">
        <v>740256</v>
      </c>
      <c r="I28" s="392">
        <v>1617346</v>
      </c>
      <c r="J28" s="392">
        <v>842403</v>
      </c>
      <c r="K28" s="392">
        <v>725808</v>
      </c>
      <c r="L28" s="392">
        <v>1568211</v>
      </c>
      <c r="M28" s="389">
        <v>0.96045217708558983</v>
      </c>
      <c r="N28" s="389">
        <v>0.98048242770068728</v>
      </c>
      <c r="O28" s="389">
        <v>0.96961998236617275</v>
      </c>
      <c r="P28" s="388">
        <v>842403</v>
      </c>
      <c r="Q28" s="388">
        <v>725808</v>
      </c>
      <c r="R28" s="388">
        <v>1568211</v>
      </c>
      <c r="S28" s="388">
        <v>616354</v>
      </c>
      <c r="T28" s="388">
        <v>612716</v>
      </c>
      <c r="U28" s="388">
        <v>1229070</v>
      </c>
      <c r="V28" s="389">
        <v>0.7316616868648379</v>
      </c>
      <c r="W28" s="389">
        <v>0.84418468796155455</v>
      </c>
      <c r="X28" s="389">
        <v>0.78374019822587648</v>
      </c>
      <c r="Y28" s="393"/>
      <c r="Z28" s="393"/>
      <c r="AA28" s="393"/>
      <c r="AB28" s="393"/>
      <c r="AC28" s="393"/>
      <c r="AD28" s="393"/>
      <c r="AE28" s="393"/>
      <c r="AF28" s="393"/>
      <c r="AG28" s="393"/>
      <c r="AH28" s="390"/>
      <c r="AI28" s="390"/>
      <c r="AJ28" s="390"/>
      <c r="AK28" s="390"/>
      <c r="AL28" s="390"/>
      <c r="AM28" s="390"/>
      <c r="AN28" s="390"/>
      <c r="AO28" s="390"/>
      <c r="AP28" s="390"/>
      <c r="AQ28" s="390"/>
      <c r="AR28" s="390"/>
      <c r="AS28" s="390"/>
      <c r="AT28" s="390"/>
      <c r="AU28" s="390"/>
      <c r="AV28" s="390"/>
      <c r="AW28" s="390"/>
      <c r="AX28" s="390"/>
      <c r="AY28" s="390"/>
      <c r="AZ28" s="390"/>
      <c r="BA28" s="390"/>
      <c r="BB28" s="390"/>
      <c r="BC28" s="390"/>
      <c r="BD28" s="390"/>
      <c r="BE28" s="390"/>
      <c r="BF28" s="390"/>
      <c r="BG28" s="390"/>
      <c r="BH28" s="390"/>
      <c r="BI28" s="390"/>
      <c r="BJ28" s="390"/>
      <c r="BK28" s="390"/>
      <c r="BL28" s="390"/>
      <c r="BM28" s="390"/>
      <c r="BN28" s="390"/>
      <c r="BO28" s="390"/>
      <c r="BP28" s="390"/>
      <c r="BQ28" s="390"/>
      <c r="BR28" s="390"/>
      <c r="BS28" s="390"/>
      <c r="BT28" s="390"/>
      <c r="BU28" s="390"/>
      <c r="BV28" s="390"/>
      <c r="BW28" s="390"/>
      <c r="BX28" s="390"/>
      <c r="BY28" s="390"/>
      <c r="BZ28" s="390"/>
      <c r="CA28" s="390"/>
      <c r="CB28" s="390"/>
      <c r="CC28" s="390"/>
      <c r="CD28" s="390"/>
      <c r="CE28" s="390"/>
      <c r="CF28" s="390"/>
      <c r="CG28" s="390"/>
      <c r="CH28" s="390"/>
      <c r="CI28" s="390"/>
      <c r="CJ28" s="390"/>
      <c r="CK28" s="390"/>
      <c r="CL28" s="390"/>
      <c r="CM28" s="390"/>
      <c r="CN28" s="390"/>
      <c r="CO28" s="390"/>
      <c r="CP28" s="390"/>
      <c r="CQ28" s="390"/>
      <c r="CR28" s="390"/>
      <c r="CS28" s="390"/>
      <c r="CT28" s="390"/>
      <c r="CU28" s="390"/>
      <c r="CV28" s="390"/>
      <c r="CW28" s="390"/>
      <c r="CX28" s="390"/>
      <c r="CY28" s="390"/>
      <c r="CZ28" s="390"/>
      <c r="DA28" s="390"/>
      <c r="DB28" s="390"/>
      <c r="DC28" s="390"/>
      <c r="DD28" s="390"/>
    </row>
    <row r="29" spans="1:140" ht="37.5" customHeight="1" x14ac:dyDescent="0.25">
      <c r="A29" s="423">
        <v>23</v>
      </c>
      <c r="B29" s="450" t="s">
        <v>376</v>
      </c>
      <c r="C29" s="424" t="s">
        <v>141</v>
      </c>
      <c r="D29" s="392">
        <v>20410</v>
      </c>
      <c r="E29" s="392">
        <v>19354</v>
      </c>
      <c r="F29" s="392">
        <v>39764</v>
      </c>
      <c r="G29" s="392">
        <v>20087</v>
      </c>
      <c r="H29" s="392">
        <v>19146</v>
      </c>
      <c r="I29" s="392">
        <v>39233</v>
      </c>
      <c r="J29" s="392">
        <v>15238</v>
      </c>
      <c r="K29" s="392">
        <v>14577</v>
      </c>
      <c r="L29" s="392">
        <v>29815</v>
      </c>
      <c r="M29" s="389">
        <v>0.75860008961019565</v>
      </c>
      <c r="N29" s="389">
        <v>0.76136007521153248</v>
      </c>
      <c r="O29" s="389">
        <v>0.75994698340682587</v>
      </c>
      <c r="P29" s="388">
        <v>15238</v>
      </c>
      <c r="Q29" s="388">
        <v>14577</v>
      </c>
      <c r="R29" s="388">
        <v>29815</v>
      </c>
      <c r="S29" s="388">
        <v>9972</v>
      </c>
      <c r="T29" s="388">
        <v>10422</v>
      </c>
      <c r="U29" s="388">
        <v>20394</v>
      </c>
      <c r="V29" s="389">
        <v>0.65441659010368813</v>
      </c>
      <c r="W29" s="389">
        <v>0.7149619263222885</v>
      </c>
      <c r="X29" s="389">
        <v>0.68401811168874727</v>
      </c>
      <c r="Y29" s="391">
        <v>4202</v>
      </c>
      <c r="Z29" s="391">
        <v>4341</v>
      </c>
      <c r="AA29" s="391">
        <v>8543</v>
      </c>
      <c r="AB29" s="391">
        <v>4072</v>
      </c>
      <c r="AC29" s="391">
        <v>4234</v>
      </c>
      <c r="AD29" s="391">
        <v>8306</v>
      </c>
      <c r="AE29" s="391">
        <v>2506</v>
      </c>
      <c r="AF29" s="391">
        <v>2517</v>
      </c>
      <c r="AG29" s="391">
        <v>5023</v>
      </c>
      <c r="AH29" s="389">
        <v>0.61542239685658151</v>
      </c>
      <c r="AI29" s="389">
        <v>0.59447331128956071</v>
      </c>
      <c r="AJ29" s="389">
        <v>0.60474355887310383</v>
      </c>
      <c r="AK29" s="391">
        <v>2506</v>
      </c>
      <c r="AL29" s="391">
        <v>2517</v>
      </c>
      <c r="AM29" s="391">
        <v>5023</v>
      </c>
      <c r="AN29" s="391">
        <v>1351</v>
      </c>
      <c r="AO29" s="391">
        <v>1478</v>
      </c>
      <c r="AP29" s="391">
        <v>2829</v>
      </c>
      <c r="AQ29" s="389">
        <v>0.53910614525139666</v>
      </c>
      <c r="AR29" s="389">
        <v>0.5872069924513309</v>
      </c>
      <c r="AS29" s="389">
        <v>0.56320923750746565</v>
      </c>
      <c r="AT29" s="391">
        <v>845</v>
      </c>
      <c r="AU29" s="391">
        <v>807</v>
      </c>
      <c r="AV29" s="391">
        <v>1652</v>
      </c>
      <c r="AW29" s="391">
        <v>816</v>
      </c>
      <c r="AX29" s="391">
        <v>795</v>
      </c>
      <c r="AY29" s="391">
        <v>1611</v>
      </c>
      <c r="AZ29" s="391">
        <v>575</v>
      </c>
      <c r="BA29" s="391">
        <v>561</v>
      </c>
      <c r="BB29" s="391">
        <v>1136</v>
      </c>
      <c r="BC29" s="389">
        <v>0.70465686274509809</v>
      </c>
      <c r="BD29" s="389">
        <v>0.70566037735849052</v>
      </c>
      <c r="BE29" s="389">
        <v>0.70515207945375546</v>
      </c>
      <c r="BF29" s="391">
        <v>575</v>
      </c>
      <c r="BG29" s="391">
        <v>561</v>
      </c>
      <c r="BH29" s="391">
        <v>1136</v>
      </c>
      <c r="BI29" s="391">
        <v>340</v>
      </c>
      <c r="BJ29" s="391">
        <v>390</v>
      </c>
      <c r="BK29" s="391">
        <v>730</v>
      </c>
      <c r="BL29" s="389">
        <v>0.59130434782608698</v>
      </c>
      <c r="BM29" s="389">
        <v>0.69518716577540107</v>
      </c>
      <c r="BN29" s="389">
        <v>0.64260563380281688</v>
      </c>
      <c r="BO29" s="391">
        <v>15363</v>
      </c>
      <c r="BP29" s="391">
        <v>14206</v>
      </c>
      <c r="BQ29" s="391">
        <v>29569</v>
      </c>
      <c r="BR29" s="391">
        <v>15199</v>
      </c>
      <c r="BS29" s="391">
        <v>14117</v>
      </c>
      <c r="BT29" s="391">
        <v>29316</v>
      </c>
      <c r="BU29" s="391">
        <v>12157</v>
      </c>
      <c r="BV29" s="391">
        <v>11499</v>
      </c>
      <c r="BW29" s="391">
        <v>23656</v>
      </c>
      <c r="BX29" s="389">
        <v>0.79985525363510757</v>
      </c>
      <c r="BY29" s="389">
        <v>0.81454983353403698</v>
      </c>
      <c r="BZ29" s="389">
        <v>0.80693136853595304</v>
      </c>
      <c r="CA29" s="391">
        <v>12157</v>
      </c>
      <c r="CB29" s="391">
        <v>11499</v>
      </c>
      <c r="CC29" s="391">
        <v>23656</v>
      </c>
      <c r="CD29" s="391">
        <v>8281</v>
      </c>
      <c r="CE29" s="391">
        <v>8554</v>
      </c>
      <c r="CF29" s="391">
        <v>16835</v>
      </c>
      <c r="CG29" s="389">
        <v>0.68117134161388504</v>
      </c>
      <c r="CH29" s="389">
        <v>0.74389077311070528</v>
      </c>
      <c r="CI29" s="389">
        <v>0.7116587757862699</v>
      </c>
      <c r="CJ29" s="390"/>
      <c r="CK29" s="390"/>
      <c r="CL29" s="390"/>
      <c r="CM29" s="390"/>
      <c r="CN29" s="390"/>
      <c r="CO29" s="390"/>
      <c r="CP29" s="390"/>
      <c r="CQ29" s="390"/>
      <c r="CR29" s="390"/>
      <c r="CS29" s="390"/>
      <c r="CT29" s="390"/>
      <c r="CU29" s="390"/>
      <c r="CV29" s="390"/>
      <c r="CW29" s="390"/>
      <c r="CX29" s="390"/>
      <c r="CY29" s="390"/>
      <c r="CZ29" s="390"/>
      <c r="DA29" s="390"/>
      <c r="DB29" s="390"/>
      <c r="DC29" s="390"/>
      <c r="DD29" s="390"/>
    </row>
    <row r="30" spans="1:140" ht="36.75" customHeight="1" x14ac:dyDescent="0.25">
      <c r="A30" s="423">
        <v>24</v>
      </c>
      <c r="B30" s="450" t="s">
        <v>377</v>
      </c>
      <c r="C30" s="424" t="s">
        <v>158</v>
      </c>
      <c r="D30" s="392">
        <v>25369</v>
      </c>
      <c r="E30" s="392">
        <v>33297</v>
      </c>
      <c r="F30" s="392">
        <v>58666</v>
      </c>
      <c r="G30" s="392">
        <v>24681</v>
      </c>
      <c r="H30" s="392">
        <v>32683</v>
      </c>
      <c r="I30" s="392">
        <v>57364</v>
      </c>
      <c r="J30" s="392">
        <v>13444</v>
      </c>
      <c r="K30" s="392">
        <v>19245</v>
      </c>
      <c r="L30" s="392">
        <v>32689</v>
      </c>
      <c r="M30" s="389">
        <v>0.54471050605729099</v>
      </c>
      <c r="N30" s="389">
        <v>0.58883823394425239</v>
      </c>
      <c r="O30" s="389">
        <v>0.56985217209399619</v>
      </c>
      <c r="P30" s="388">
        <v>13444</v>
      </c>
      <c r="Q30" s="388">
        <v>19245</v>
      </c>
      <c r="R30" s="388">
        <v>32689</v>
      </c>
      <c r="S30" s="388">
        <v>1911</v>
      </c>
      <c r="T30" s="388">
        <v>2782</v>
      </c>
      <c r="U30" s="388">
        <v>4693</v>
      </c>
      <c r="V30" s="389">
        <v>0.14214519488247546</v>
      </c>
      <c r="W30" s="389">
        <v>0.14455702779942842</v>
      </c>
      <c r="X30" s="389">
        <v>0.1435651136467925</v>
      </c>
      <c r="Y30" s="391">
        <v>2112</v>
      </c>
      <c r="Z30" s="391">
        <v>2592</v>
      </c>
      <c r="AA30" s="391">
        <v>4704</v>
      </c>
      <c r="AB30" s="391">
        <v>2010</v>
      </c>
      <c r="AC30" s="391">
        <v>2514</v>
      </c>
      <c r="AD30" s="391">
        <v>4524</v>
      </c>
      <c r="AE30" s="391">
        <v>738</v>
      </c>
      <c r="AF30" s="391">
        <v>958</v>
      </c>
      <c r="AG30" s="391">
        <v>1696</v>
      </c>
      <c r="AH30" s="389">
        <v>0.36716417910447763</v>
      </c>
      <c r="AI30" s="389">
        <v>0.38106603023070801</v>
      </c>
      <c r="AJ30" s="389">
        <v>0.37488947833775421</v>
      </c>
      <c r="AK30" s="391">
        <v>738</v>
      </c>
      <c r="AL30" s="391">
        <v>958</v>
      </c>
      <c r="AM30" s="391">
        <v>1696</v>
      </c>
      <c r="AN30" s="391">
        <v>42</v>
      </c>
      <c r="AO30" s="391">
        <v>52</v>
      </c>
      <c r="AP30" s="391">
        <v>94</v>
      </c>
      <c r="AQ30" s="389">
        <v>5.6910569105691054E-2</v>
      </c>
      <c r="AR30" s="389">
        <v>5.4279749478079335E-2</v>
      </c>
      <c r="AS30" s="389">
        <v>5.5424528301886794E-2</v>
      </c>
      <c r="AT30" s="390"/>
      <c r="AU30" s="390"/>
      <c r="AV30" s="390"/>
      <c r="AW30" s="390"/>
      <c r="AX30" s="390"/>
      <c r="AY30" s="390"/>
      <c r="AZ30" s="390"/>
      <c r="BA30" s="390"/>
      <c r="BB30" s="390"/>
      <c r="BC30" s="390"/>
      <c r="BD30" s="390"/>
      <c r="BE30" s="390"/>
      <c r="BF30" s="390"/>
      <c r="BG30" s="390"/>
      <c r="BH30" s="390"/>
      <c r="BI30" s="390"/>
      <c r="BJ30" s="390"/>
      <c r="BK30" s="390"/>
      <c r="BL30" s="390"/>
      <c r="BM30" s="390"/>
      <c r="BN30" s="390"/>
      <c r="BO30" s="390"/>
      <c r="BP30" s="390"/>
      <c r="BQ30" s="390"/>
      <c r="BR30" s="390"/>
      <c r="BS30" s="390"/>
      <c r="BT30" s="390"/>
      <c r="BU30" s="390"/>
      <c r="BV30" s="390"/>
      <c r="BW30" s="390"/>
      <c r="BX30" s="390"/>
      <c r="BY30" s="390"/>
      <c r="BZ30" s="390"/>
      <c r="CA30" s="390"/>
      <c r="CB30" s="390"/>
      <c r="CC30" s="390"/>
      <c r="CD30" s="390"/>
      <c r="CE30" s="390"/>
      <c r="CF30" s="390"/>
      <c r="CG30" s="390"/>
      <c r="CH30" s="390"/>
      <c r="CI30" s="390"/>
      <c r="CJ30" s="390"/>
      <c r="CK30" s="390"/>
      <c r="CL30" s="390"/>
      <c r="CM30" s="390"/>
      <c r="CN30" s="390"/>
      <c r="CO30" s="390"/>
      <c r="CP30" s="390"/>
      <c r="CQ30" s="390"/>
      <c r="CR30" s="390"/>
      <c r="CS30" s="390"/>
      <c r="CT30" s="390"/>
      <c r="CU30" s="390"/>
      <c r="CV30" s="390"/>
      <c r="CW30" s="390"/>
      <c r="CX30" s="390"/>
      <c r="CY30" s="390"/>
      <c r="CZ30" s="390"/>
      <c r="DA30" s="390"/>
      <c r="DB30" s="390"/>
      <c r="DC30" s="390"/>
      <c r="DD30" s="390"/>
    </row>
    <row r="31" spans="1:140" ht="36.75" customHeight="1" x14ac:dyDescent="0.25">
      <c r="A31" s="423">
        <v>25</v>
      </c>
      <c r="B31" s="450" t="s">
        <v>378</v>
      </c>
      <c r="C31" s="424" t="s">
        <v>159</v>
      </c>
      <c r="D31" s="392">
        <v>8724</v>
      </c>
      <c r="E31" s="392">
        <v>9633</v>
      </c>
      <c r="F31" s="392">
        <v>18357</v>
      </c>
      <c r="G31" s="392">
        <v>8263</v>
      </c>
      <c r="H31" s="392">
        <v>9233</v>
      </c>
      <c r="I31" s="392">
        <v>17496</v>
      </c>
      <c r="J31" s="392">
        <v>5975</v>
      </c>
      <c r="K31" s="392">
        <v>6467</v>
      </c>
      <c r="L31" s="392">
        <v>12442</v>
      </c>
      <c r="M31" s="389">
        <v>0.72310298922909355</v>
      </c>
      <c r="N31" s="389">
        <v>0.70042239792050254</v>
      </c>
      <c r="O31" s="389">
        <v>0.71113397347965246</v>
      </c>
      <c r="P31" s="388">
        <v>5975</v>
      </c>
      <c r="Q31" s="388">
        <v>6467</v>
      </c>
      <c r="R31" s="388">
        <v>12442</v>
      </c>
      <c r="S31" s="388">
        <v>2357</v>
      </c>
      <c r="T31" s="388">
        <v>2821</v>
      </c>
      <c r="U31" s="388">
        <v>5178</v>
      </c>
      <c r="V31" s="389">
        <v>0.39447698744769877</v>
      </c>
      <c r="W31" s="389">
        <v>0.436214628111953</v>
      </c>
      <c r="X31" s="389">
        <v>0.41617103359588492</v>
      </c>
      <c r="Y31" s="391">
        <v>2765</v>
      </c>
      <c r="Z31" s="391">
        <v>3058</v>
      </c>
      <c r="AA31" s="391">
        <v>5823</v>
      </c>
      <c r="AB31" s="391">
        <v>2583</v>
      </c>
      <c r="AC31" s="391">
        <v>2903</v>
      </c>
      <c r="AD31" s="391">
        <v>5486</v>
      </c>
      <c r="AE31" s="391">
        <v>1566</v>
      </c>
      <c r="AF31" s="391">
        <v>1664</v>
      </c>
      <c r="AG31" s="391">
        <v>3230</v>
      </c>
      <c r="AH31" s="389">
        <v>0.60627177700348434</v>
      </c>
      <c r="AI31" s="389">
        <v>0.57320013778849466</v>
      </c>
      <c r="AJ31" s="389">
        <v>0.58877141815530443</v>
      </c>
      <c r="AK31" s="391">
        <v>1566</v>
      </c>
      <c r="AL31" s="391">
        <v>1664</v>
      </c>
      <c r="AM31" s="391">
        <v>3230</v>
      </c>
      <c r="AN31" s="391">
        <v>327</v>
      </c>
      <c r="AO31" s="391">
        <v>415</v>
      </c>
      <c r="AP31" s="391">
        <v>742</v>
      </c>
      <c r="AQ31" s="389">
        <v>0.20881226053639848</v>
      </c>
      <c r="AR31" s="389">
        <v>0.24939903846153846</v>
      </c>
      <c r="AS31" s="389">
        <v>0.22972136222910217</v>
      </c>
      <c r="AT31" s="391">
        <v>1832</v>
      </c>
      <c r="AU31" s="391">
        <v>2290</v>
      </c>
      <c r="AV31" s="391">
        <v>4122</v>
      </c>
      <c r="AW31" s="391">
        <v>1739</v>
      </c>
      <c r="AX31" s="391">
        <v>2197</v>
      </c>
      <c r="AY31" s="391">
        <v>3936</v>
      </c>
      <c r="AZ31" s="391">
        <v>1287</v>
      </c>
      <c r="BA31" s="391">
        <v>1555</v>
      </c>
      <c r="BB31" s="391">
        <v>2842</v>
      </c>
      <c r="BC31" s="389">
        <v>0.74008050603795283</v>
      </c>
      <c r="BD31" s="389">
        <v>0.70778334091943562</v>
      </c>
      <c r="BE31" s="389">
        <v>0.72205284552845528</v>
      </c>
      <c r="BF31" s="391">
        <v>1287</v>
      </c>
      <c r="BG31" s="391">
        <v>1555</v>
      </c>
      <c r="BH31" s="391">
        <v>2842</v>
      </c>
      <c r="BI31" s="391">
        <v>493</v>
      </c>
      <c r="BJ31" s="391">
        <v>688</v>
      </c>
      <c r="BK31" s="391">
        <v>1181</v>
      </c>
      <c r="BL31" s="389">
        <v>0.38306138306138304</v>
      </c>
      <c r="BM31" s="389">
        <v>0.44244372990353698</v>
      </c>
      <c r="BN31" s="389">
        <v>0.4155524278676988</v>
      </c>
      <c r="BO31" s="391">
        <v>3832</v>
      </c>
      <c r="BP31" s="391">
        <v>3957</v>
      </c>
      <c r="BQ31" s="391">
        <v>7789</v>
      </c>
      <c r="BR31" s="391">
        <v>3667</v>
      </c>
      <c r="BS31" s="391">
        <v>3827</v>
      </c>
      <c r="BT31" s="391">
        <v>7494</v>
      </c>
      <c r="BU31" s="391">
        <v>2939</v>
      </c>
      <c r="BV31" s="391">
        <v>3065</v>
      </c>
      <c r="BW31" s="391">
        <v>6004</v>
      </c>
      <c r="BX31" s="389">
        <v>0.80147259340059995</v>
      </c>
      <c r="BY31" s="389">
        <v>0.80088842435327934</v>
      </c>
      <c r="BZ31" s="389">
        <v>0.80117427275153452</v>
      </c>
      <c r="CA31" s="391">
        <v>2939</v>
      </c>
      <c r="CB31" s="391">
        <v>3065</v>
      </c>
      <c r="CC31" s="391">
        <v>6004</v>
      </c>
      <c r="CD31" s="391">
        <v>1499</v>
      </c>
      <c r="CE31" s="391">
        <v>1660</v>
      </c>
      <c r="CF31" s="391">
        <v>3159</v>
      </c>
      <c r="CG31" s="389">
        <v>0.5100374276964954</v>
      </c>
      <c r="CH31" s="389">
        <v>0.5415986949429038</v>
      </c>
      <c r="CI31" s="389">
        <v>0.52614923384410395</v>
      </c>
      <c r="CJ31" s="391">
        <v>295</v>
      </c>
      <c r="CK31" s="391">
        <v>328</v>
      </c>
      <c r="CL31" s="391">
        <v>623</v>
      </c>
      <c r="CM31" s="391">
        <v>274</v>
      </c>
      <c r="CN31" s="391">
        <v>306</v>
      </c>
      <c r="CO31" s="391">
        <v>580</v>
      </c>
      <c r="CP31" s="391">
        <v>183</v>
      </c>
      <c r="CQ31" s="391">
        <v>183</v>
      </c>
      <c r="CR31" s="391">
        <v>366</v>
      </c>
      <c r="CS31" s="389">
        <v>0.66788321167883213</v>
      </c>
      <c r="CT31" s="389">
        <v>0.59803921568627449</v>
      </c>
      <c r="CU31" s="389">
        <v>0.63103448275862073</v>
      </c>
      <c r="CV31" s="391">
        <v>183</v>
      </c>
      <c r="CW31" s="391">
        <v>183</v>
      </c>
      <c r="CX31" s="391">
        <v>366</v>
      </c>
      <c r="CY31" s="391">
        <v>38</v>
      </c>
      <c r="CZ31" s="391">
        <v>58</v>
      </c>
      <c r="DA31" s="391">
        <v>96</v>
      </c>
      <c r="DB31" s="389">
        <v>0.20765027322404372</v>
      </c>
      <c r="DC31" s="389">
        <v>0.31693989071038253</v>
      </c>
      <c r="DD31" s="389">
        <v>0.26229508196721313</v>
      </c>
    </row>
    <row r="32" spans="1:140" ht="39.75" customHeight="1" x14ac:dyDescent="0.25">
      <c r="A32" s="423">
        <v>26</v>
      </c>
      <c r="B32" s="450" t="s">
        <v>379</v>
      </c>
      <c r="C32" s="424" t="s">
        <v>160</v>
      </c>
      <c r="D32" s="392">
        <v>14436</v>
      </c>
      <c r="E32" s="392">
        <v>15865</v>
      </c>
      <c r="F32" s="392">
        <v>30301</v>
      </c>
      <c r="G32" s="392">
        <v>13661</v>
      </c>
      <c r="H32" s="392">
        <v>15277</v>
      </c>
      <c r="I32" s="392">
        <v>28938</v>
      </c>
      <c r="J32" s="392">
        <v>8699</v>
      </c>
      <c r="K32" s="392">
        <v>10023</v>
      </c>
      <c r="L32" s="392">
        <v>18722</v>
      </c>
      <c r="M32" s="389">
        <v>0.63677622428811942</v>
      </c>
      <c r="N32" s="389">
        <v>0.65608430974667797</v>
      </c>
      <c r="O32" s="389">
        <v>0.64696938281843941</v>
      </c>
      <c r="P32" s="392">
        <v>8699</v>
      </c>
      <c r="Q32" s="392">
        <v>10023</v>
      </c>
      <c r="R32" s="392">
        <v>18722</v>
      </c>
      <c r="S32" s="392">
        <v>3390</v>
      </c>
      <c r="T32" s="392">
        <v>4799</v>
      </c>
      <c r="U32" s="392">
        <v>8189</v>
      </c>
      <c r="V32" s="389">
        <v>0.3896999655132774</v>
      </c>
      <c r="W32" s="389">
        <v>0.47879876284545547</v>
      </c>
      <c r="X32" s="389">
        <v>0.43739985044332869</v>
      </c>
      <c r="Y32" s="391">
        <v>4253</v>
      </c>
      <c r="Z32" s="391">
        <v>5726</v>
      </c>
      <c r="AA32" s="391">
        <v>9979</v>
      </c>
      <c r="AB32" s="391">
        <v>3926</v>
      </c>
      <c r="AC32" s="391">
        <v>5412</v>
      </c>
      <c r="AD32" s="391">
        <v>9338</v>
      </c>
      <c r="AE32" s="391">
        <v>1320</v>
      </c>
      <c r="AF32" s="391">
        <v>1926</v>
      </c>
      <c r="AG32" s="391">
        <v>3246</v>
      </c>
      <c r="AH32" s="389">
        <v>0.33622007131940906</v>
      </c>
      <c r="AI32" s="389">
        <v>0.3558758314855876</v>
      </c>
      <c r="AJ32" s="389">
        <v>0.34761190833154854</v>
      </c>
      <c r="AK32" s="391">
        <v>1320</v>
      </c>
      <c r="AL32" s="391">
        <v>1926</v>
      </c>
      <c r="AM32" s="391">
        <v>3246</v>
      </c>
      <c r="AN32" s="391">
        <v>185</v>
      </c>
      <c r="AO32" s="391">
        <v>345</v>
      </c>
      <c r="AP32" s="391">
        <v>530</v>
      </c>
      <c r="AQ32" s="389">
        <v>0.14015151515151514</v>
      </c>
      <c r="AR32" s="389">
        <v>0.17912772585669781</v>
      </c>
      <c r="AS32" s="389">
        <v>0.16327788046826863</v>
      </c>
      <c r="AT32" s="390"/>
      <c r="AU32" s="390"/>
      <c r="AV32" s="390"/>
      <c r="AW32" s="390"/>
      <c r="AX32" s="390"/>
      <c r="AY32" s="390"/>
      <c r="AZ32" s="390"/>
      <c r="BA32" s="390"/>
      <c r="BB32" s="390"/>
      <c r="BC32" s="390"/>
      <c r="BD32" s="390"/>
      <c r="BE32" s="390"/>
      <c r="BF32" s="390"/>
      <c r="BG32" s="390"/>
      <c r="BH32" s="390"/>
      <c r="BI32" s="390"/>
      <c r="BJ32" s="390"/>
      <c r="BK32" s="390"/>
      <c r="BL32" s="390"/>
      <c r="BM32" s="390"/>
      <c r="BN32" s="390"/>
      <c r="BO32" s="391">
        <v>10183</v>
      </c>
      <c r="BP32" s="391">
        <v>10139</v>
      </c>
      <c r="BQ32" s="391">
        <v>20322</v>
      </c>
      <c r="BR32" s="391">
        <v>9735</v>
      </c>
      <c r="BS32" s="391">
        <v>9865</v>
      </c>
      <c r="BT32" s="391">
        <v>19600</v>
      </c>
      <c r="BU32" s="391">
        <v>7379</v>
      </c>
      <c r="BV32" s="391">
        <v>8097</v>
      </c>
      <c r="BW32" s="391">
        <v>15476</v>
      </c>
      <c r="BX32" s="389">
        <v>0.75798664612223932</v>
      </c>
      <c r="BY32" s="389">
        <v>0.82078053725291433</v>
      </c>
      <c r="BZ32" s="389">
        <v>0.78959183673469391</v>
      </c>
      <c r="CA32" s="391">
        <v>7379</v>
      </c>
      <c r="CB32" s="391">
        <v>8097</v>
      </c>
      <c r="CC32" s="391">
        <v>15476</v>
      </c>
      <c r="CD32" s="391">
        <v>3205</v>
      </c>
      <c r="CE32" s="391">
        <v>4454</v>
      </c>
      <c r="CF32" s="391">
        <v>7659</v>
      </c>
      <c r="CG32" s="389">
        <v>0.43434069657135116</v>
      </c>
      <c r="CH32" s="389">
        <v>0.55008027664567127</v>
      </c>
      <c r="CI32" s="389">
        <v>0.49489532178857587</v>
      </c>
      <c r="CJ32" s="390"/>
      <c r="CK32" s="390"/>
      <c r="CL32" s="390"/>
      <c r="CM32" s="390"/>
      <c r="CN32" s="390"/>
      <c r="CO32" s="390"/>
      <c r="CP32" s="390"/>
      <c r="CQ32" s="390"/>
      <c r="CR32" s="390"/>
      <c r="CS32" s="390"/>
      <c r="CT32" s="390"/>
      <c r="CU32" s="390"/>
      <c r="CV32" s="390"/>
      <c r="CW32" s="390"/>
      <c r="CX32" s="390"/>
      <c r="CY32" s="390"/>
      <c r="CZ32" s="390"/>
      <c r="DA32" s="390"/>
      <c r="DB32" s="390"/>
      <c r="DC32" s="390"/>
      <c r="DD32" s="390"/>
    </row>
    <row r="33" spans="1:140" s="362" customFormat="1" ht="33" customHeight="1" x14ac:dyDescent="0.25">
      <c r="A33" s="423">
        <v>27</v>
      </c>
      <c r="B33" s="450" t="s">
        <v>387</v>
      </c>
      <c r="C33" s="424" t="s">
        <v>353</v>
      </c>
      <c r="D33" s="392">
        <v>439</v>
      </c>
      <c r="E33" s="392">
        <v>242</v>
      </c>
      <c r="F33" s="392">
        <v>681</v>
      </c>
      <c r="G33" s="392">
        <v>378</v>
      </c>
      <c r="H33" s="392">
        <v>207</v>
      </c>
      <c r="I33" s="392">
        <v>585</v>
      </c>
      <c r="J33" s="392">
        <v>358</v>
      </c>
      <c r="K33" s="392">
        <v>196</v>
      </c>
      <c r="L33" s="392">
        <v>554</v>
      </c>
      <c r="M33" s="389">
        <v>0.94708994708994709</v>
      </c>
      <c r="N33" s="389">
        <v>0.9468599033816425</v>
      </c>
      <c r="O33" s="389">
        <v>0.94700854700854697</v>
      </c>
      <c r="P33" s="388">
        <v>358</v>
      </c>
      <c r="Q33" s="388">
        <v>196</v>
      </c>
      <c r="R33" s="388">
        <v>554</v>
      </c>
      <c r="S33" s="388">
        <v>266</v>
      </c>
      <c r="T33" s="388">
        <v>140</v>
      </c>
      <c r="U33" s="388">
        <v>406</v>
      </c>
      <c r="V33" s="389">
        <v>0.74301675977653636</v>
      </c>
      <c r="W33" s="389">
        <v>0.7142857142857143</v>
      </c>
      <c r="X33" s="389">
        <v>0.73285198555956677</v>
      </c>
      <c r="Y33" s="392">
        <v>439</v>
      </c>
      <c r="Z33" s="392">
        <v>242</v>
      </c>
      <c r="AA33" s="392">
        <v>681</v>
      </c>
      <c r="AB33" s="392">
        <v>378</v>
      </c>
      <c r="AC33" s="392">
        <v>207</v>
      </c>
      <c r="AD33" s="392">
        <v>585</v>
      </c>
      <c r="AE33" s="392">
        <v>358</v>
      </c>
      <c r="AF33" s="392">
        <v>196</v>
      </c>
      <c r="AG33" s="392">
        <v>554</v>
      </c>
      <c r="AH33" s="389">
        <v>0.94708994708994709</v>
      </c>
      <c r="AI33" s="389">
        <v>0.9468599033816425</v>
      </c>
      <c r="AJ33" s="389">
        <v>0.94700854700854697</v>
      </c>
      <c r="AK33" s="388">
        <v>358</v>
      </c>
      <c r="AL33" s="388">
        <v>196</v>
      </c>
      <c r="AM33" s="388">
        <v>554</v>
      </c>
      <c r="AN33" s="388">
        <v>266</v>
      </c>
      <c r="AO33" s="388">
        <v>140</v>
      </c>
      <c r="AP33" s="388">
        <v>406</v>
      </c>
      <c r="AQ33" s="389">
        <v>0.74301675977653636</v>
      </c>
      <c r="AR33" s="389">
        <v>0.7142857142857143</v>
      </c>
      <c r="AS33" s="389">
        <v>0.73285198555956677</v>
      </c>
      <c r="AT33" s="390"/>
      <c r="AU33" s="390"/>
      <c r="AV33" s="390"/>
      <c r="AW33" s="390"/>
      <c r="AX33" s="390"/>
      <c r="AY33" s="390"/>
      <c r="AZ33" s="390"/>
      <c r="BA33" s="390"/>
      <c r="BB33" s="390"/>
      <c r="BC33" s="390"/>
      <c r="BD33" s="390"/>
      <c r="BE33" s="390"/>
      <c r="BF33" s="390"/>
      <c r="BG33" s="390"/>
      <c r="BH33" s="390"/>
      <c r="BI33" s="390"/>
      <c r="BJ33" s="390"/>
      <c r="BK33" s="390"/>
      <c r="BL33" s="390"/>
      <c r="BM33" s="390"/>
      <c r="BN33" s="390"/>
      <c r="BO33" s="390"/>
      <c r="BP33" s="390"/>
      <c r="BQ33" s="390"/>
      <c r="BR33" s="390"/>
      <c r="BS33" s="390"/>
      <c r="BT33" s="390"/>
      <c r="BU33" s="390"/>
      <c r="BV33" s="390"/>
      <c r="BW33" s="390"/>
      <c r="BX33" s="390"/>
      <c r="BY33" s="390"/>
      <c r="BZ33" s="390"/>
      <c r="CA33" s="390"/>
      <c r="CB33" s="390"/>
      <c r="CC33" s="390"/>
      <c r="CD33" s="390"/>
      <c r="CE33" s="390"/>
      <c r="CF33" s="390"/>
      <c r="CG33" s="390"/>
      <c r="CH33" s="390"/>
      <c r="CI33" s="390"/>
      <c r="CJ33" s="390"/>
      <c r="CK33" s="390"/>
      <c r="CL33" s="390"/>
      <c r="CM33" s="390"/>
      <c r="CN33" s="390"/>
      <c r="CO33" s="390"/>
      <c r="CP33" s="390"/>
      <c r="CQ33" s="390"/>
      <c r="CR33" s="390"/>
      <c r="CS33" s="390"/>
      <c r="CT33" s="390"/>
      <c r="CU33" s="390"/>
      <c r="CV33" s="390"/>
      <c r="CW33" s="390"/>
      <c r="CX33" s="390"/>
      <c r="CY33" s="390"/>
      <c r="CZ33" s="390"/>
      <c r="DA33" s="390"/>
      <c r="DB33" s="390"/>
      <c r="DC33" s="390"/>
      <c r="DD33" s="390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H33"/>
      <c r="EI33"/>
      <c r="EJ33"/>
    </row>
    <row r="34" spans="1:140" ht="36" customHeight="1" x14ac:dyDescent="0.25">
      <c r="A34" s="423">
        <v>28</v>
      </c>
      <c r="B34" s="450" t="s">
        <v>380</v>
      </c>
      <c r="C34" s="424" t="s">
        <v>142</v>
      </c>
      <c r="D34" s="392">
        <v>289379</v>
      </c>
      <c r="E34" s="392">
        <v>282530</v>
      </c>
      <c r="F34" s="392">
        <v>571909</v>
      </c>
      <c r="G34" s="392">
        <v>262513</v>
      </c>
      <c r="H34" s="392">
        <v>264305</v>
      </c>
      <c r="I34" s="392">
        <v>526818</v>
      </c>
      <c r="J34" s="392">
        <v>256893</v>
      </c>
      <c r="K34" s="392">
        <v>260981</v>
      </c>
      <c r="L34" s="392">
        <v>517874</v>
      </c>
      <c r="M34" s="389">
        <v>0.97859153641914876</v>
      </c>
      <c r="N34" s="389">
        <v>0.98742362043850851</v>
      </c>
      <c r="O34" s="389">
        <v>0.98302259983523721</v>
      </c>
      <c r="P34" s="388">
        <v>256893</v>
      </c>
      <c r="Q34" s="388">
        <v>260981</v>
      </c>
      <c r="R34" s="388">
        <v>517874</v>
      </c>
      <c r="S34" s="388">
        <v>154580</v>
      </c>
      <c r="T34" s="388">
        <v>171339</v>
      </c>
      <c r="U34" s="388">
        <v>325919</v>
      </c>
      <c r="V34" s="389">
        <v>0.60172912457715855</v>
      </c>
      <c r="W34" s="389">
        <v>0.65651905694284263</v>
      </c>
      <c r="X34" s="389">
        <v>0.62934034147302242</v>
      </c>
      <c r="Y34" s="391">
        <v>268863</v>
      </c>
      <c r="Z34" s="391">
        <v>265150</v>
      </c>
      <c r="AA34" s="391">
        <v>534013</v>
      </c>
      <c r="AB34" s="391">
        <v>243105</v>
      </c>
      <c r="AC34" s="391">
        <v>247896</v>
      </c>
      <c r="AD34" s="391">
        <v>491001</v>
      </c>
      <c r="AE34" s="391">
        <v>237712</v>
      </c>
      <c r="AF34" s="391">
        <v>244785</v>
      </c>
      <c r="AG34" s="391">
        <v>482497</v>
      </c>
      <c r="AH34" s="389">
        <v>0.97781616996770948</v>
      </c>
      <c r="AI34" s="389">
        <v>0.98745038241843353</v>
      </c>
      <c r="AJ34" s="389">
        <v>0.98268027967356486</v>
      </c>
      <c r="AK34" s="391">
        <v>237712</v>
      </c>
      <c r="AL34" s="391">
        <v>244785</v>
      </c>
      <c r="AM34" s="391">
        <v>482497</v>
      </c>
      <c r="AN34" s="391">
        <v>139040</v>
      </c>
      <c r="AO34" s="391">
        <v>158008</v>
      </c>
      <c r="AP34" s="391">
        <v>297048</v>
      </c>
      <c r="AQ34" s="389">
        <v>0.58490947028336815</v>
      </c>
      <c r="AR34" s="389">
        <v>0.64549706885634328</v>
      </c>
      <c r="AS34" s="389">
        <v>0.6156473511752405</v>
      </c>
      <c r="AT34" s="390"/>
      <c r="AU34" s="390"/>
      <c r="AV34" s="390"/>
      <c r="AW34" s="390"/>
      <c r="AX34" s="390"/>
      <c r="AY34" s="390"/>
      <c r="AZ34" s="390"/>
      <c r="BA34" s="390"/>
      <c r="BB34" s="390"/>
      <c r="BC34" s="390"/>
      <c r="BD34" s="390"/>
      <c r="BE34" s="390"/>
      <c r="BF34" s="390"/>
      <c r="BG34" s="390"/>
      <c r="BH34" s="390"/>
      <c r="BI34" s="390"/>
      <c r="BJ34" s="390"/>
      <c r="BK34" s="390"/>
      <c r="BL34" s="390"/>
      <c r="BM34" s="390"/>
      <c r="BN34" s="390"/>
      <c r="BO34" s="391">
        <v>20516</v>
      </c>
      <c r="BP34" s="391">
        <v>17380</v>
      </c>
      <c r="BQ34" s="391">
        <v>37896</v>
      </c>
      <c r="BR34" s="391">
        <v>19408</v>
      </c>
      <c r="BS34" s="391">
        <v>16409</v>
      </c>
      <c r="BT34" s="391">
        <v>35817</v>
      </c>
      <c r="BU34" s="391">
        <v>19181</v>
      </c>
      <c r="BV34" s="391">
        <v>16196</v>
      </c>
      <c r="BW34" s="391">
        <v>35377</v>
      </c>
      <c r="BX34" s="389">
        <v>0.98830379225061826</v>
      </c>
      <c r="BY34" s="389">
        <v>0.98701931866658543</v>
      </c>
      <c r="BZ34" s="389">
        <v>0.98771533070888129</v>
      </c>
      <c r="CA34" s="391">
        <v>19181</v>
      </c>
      <c r="CB34" s="391">
        <v>16196</v>
      </c>
      <c r="CC34" s="391">
        <v>35377</v>
      </c>
      <c r="CD34" s="391">
        <v>15540</v>
      </c>
      <c r="CE34" s="391">
        <v>13331</v>
      </c>
      <c r="CF34" s="391">
        <v>28871</v>
      </c>
      <c r="CG34" s="389">
        <v>0.81017673739638185</v>
      </c>
      <c r="CH34" s="389">
        <v>0.82310447023956534</v>
      </c>
      <c r="CI34" s="389">
        <v>0.81609520309805805</v>
      </c>
      <c r="CJ34" s="390"/>
      <c r="CK34" s="390"/>
      <c r="CL34" s="390"/>
      <c r="CM34" s="390"/>
      <c r="CN34" s="390"/>
      <c r="CO34" s="390"/>
      <c r="CP34" s="390"/>
      <c r="CQ34" s="390"/>
      <c r="CR34" s="390"/>
      <c r="CS34" s="390"/>
      <c r="CT34" s="390"/>
      <c r="CU34" s="390"/>
      <c r="CV34" s="390"/>
      <c r="CW34" s="390"/>
      <c r="CX34" s="390"/>
      <c r="CY34" s="390"/>
      <c r="CZ34" s="390"/>
      <c r="DA34" s="390"/>
      <c r="DB34" s="390"/>
      <c r="DC34" s="390"/>
      <c r="DD34" s="390"/>
    </row>
    <row r="35" spans="1:140" ht="30.75" customHeight="1" x14ac:dyDescent="0.25">
      <c r="A35" s="423">
        <v>29</v>
      </c>
      <c r="B35" s="450" t="s">
        <v>381</v>
      </c>
      <c r="C35" s="424" t="s">
        <v>162</v>
      </c>
      <c r="D35" s="392">
        <v>183892</v>
      </c>
      <c r="E35" s="392">
        <v>148776</v>
      </c>
      <c r="F35" s="392">
        <v>332668</v>
      </c>
      <c r="G35" s="392">
        <v>180504</v>
      </c>
      <c r="H35" s="392">
        <v>146403</v>
      </c>
      <c r="I35" s="392">
        <v>326907</v>
      </c>
      <c r="J35" s="392">
        <v>175235</v>
      </c>
      <c r="K35" s="392">
        <v>144501</v>
      </c>
      <c r="L35" s="392">
        <v>319736</v>
      </c>
      <c r="M35" s="389">
        <v>0.97080951114656744</v>
      </c>
      <c r="N35" s="389">
        <v>0.98700846294133315</v>
      </c>
      <c r="O35" s="389">
        <v>0.97806409774033598</v>
      </c>
      <c r="P35" s="388">
        <v>175235</v>
      </c>
      <c r="Q35" s="388">
        <v>144501</v>
      </c>
      <c r="R35" s="388">
        <v>319736</v>
      </c>
      <c r="S35" s="388">
        <v>140028</v>
      </c>
      <c r="T35" s="388">
        <v>128600</v>
      </c>
      <c r="U35" s="388">
        <v>268628</v>
      </c>
      <c r="V35" s="389">
        <v>0.79908694039432759</v>
      </c>
      <c r="W35" s="389">
        <v>0.88995923903640806</v>
      </c>
      <c r="X35" s="389">
        <v>0.84015562839342461</v>
      </c>
      <c r="Y35" s="391">
        <v>114411</v>
      </c>
      <c r="Z35" s="391">
        <v>100700</v>
      </c>
      <c r="AA35" s="391">
        <v>215111</v>
      </c>
      <c r="AB35" s="391">
        <v>112510</v>
      </c>
      <c r="AC35" s="391">
        <v>99045</v>
      </c>
      <c r="AD35" s="391">
        <v>211555</v>
      </c>
      <c r="AE35" s="391">
        <v>111134</v>
      </c>
      <c r="AF35" s="391">
        <v>98344</v>
      </c>
      <c r="AG35" s="391">
        <v>209478</v>
      </c>
      <c r="AH35" s="389">
        <v>0.98776997600213312</v>
      </c>
      <c r="AI35" s="389">
        <v>0.99292240900600737</v>
      </c>
      <c r="AJ35" s="389">
        <v>0.99018222211717988</v>
      </c>
      <c r="AK35" s="391">
        <v>111134</v>
      </c>
      <c r="AL35" s="391">
        <v>98344</v>
      </c>
      <c r="AM35" s="391">
        <v>209478</v>
      </c>
      <c r="AN35" s="391">
        <v>89400</v>
      </c>
      <c r="AO35" s="391">
        <v>88072</v>
      </c>
      <c r="AP35" s="391">
        <v>177472</v>
      </c>
      <c r="AQ35" s="389">
        <v>0.80443428653697335</v>
      </c>
      <c r="AR35" s="389">
        <v>0.89555031318636624</v>
      </c>
      <c r="AS35" s="389">
        <v>0.84721068560898993</v>
      </c>
      <c r="AT35" s="391">
        <v>12758</v>
      </c>
      <c r="AU35" s="391">
        <v>9618</v>
      </c>
      <c r="AV35" s="391">
        <v>22376</v>
      </c>
      <c r="AW35" s="391">
        <v>12457</v>
      </c>
      <c r="AX35" s="391">
        <v>9448</v>
      </c>
      <c r="AY35" s="391">
        <v>21905</v>
      </c>
      <c r="AZ35" s="391">
        <v>11625</v>
      </c>
      <c r="BA35" s="391">
        <v>9208</v>
      </c>
      <c r="BB35" s="391">
        <v>20833</v>
      </c>
      <c r="BC35" s="389">
        <v>0.9332102432367344</v>
      </c>
      <c r="BD35" s="389">
        <v>0.97459779847586792</v>
      </c>
      <c r="BE35" s="389">
        <v>0.95106140150650531</v>
      </c>
      <c r="BF35" s="391">
        <v>11625</v>
      </c>
      <c r="BG35" s="391">
        <v>9208</v>
      </c>
      <c r="BH35" s="391">
        <v>20833</v>
      </c>
      <c r="BI35" s="391">
        <v>7136</v>
      </c>
      <c r="BJ35" s="391">
        <v>7112</v>
      </c>
      <c r="BK35" s="391">
        <v>14248</v>
      </c>
      <c r="BL35" s="389">
        <v>0.61384946236559135</v>
      </c>
      <c r="BM35" s="389">
        <v>0.77237185056472635</v>
      </c>
      <c r="BN35" s="389">
        <v>0.68391494263908226</v>
      </c>
      <c r="BO35" s="391">
        <v>54610</v>
      </c>
      <c r="BP35" s="391">
        <v>36915</v>
      </c>
      <c r="BQ35" s="391">
        <v>91525</v>
      </c>
      <c r="BR35" s="391">
        <v>53746</v>
      </c>
      <c r="BS35" s="391">
        <v>36571</v>
      </c>
      <c r="BT35" s="391">
        <v>90317</v>
      </c>
      <c r="BU35" s="391">
        <v>51187</v>
      </c>
      <c r="BV35" s="391">
        <v>35772</v>
      </c>
      <c r="BW35" s="391">
        <v>86959</v>
      </c>
      <c r="BX35" s="389">
        <v>0.95238715439288502</v>
      </c>
      <c r="BY35" s="389">
        <v>0.97815208771977802</v>
      </c>
      <c r="BZ35" s="389">
        <v>0.96281984565474943</v>
      </c>
      <c r="CA35" s="391">
        <v>51187</v>
      </c>
      <c r="CB35" s="391">
        <v>35772</v>
      </c>
      <c r="CC35" s="391">
        <v>86959</v>
      </c>
      <c r="CD35" s="391">
        <v>43080</v>
      </c>
      <c r="CE35" s="391">
        <v>32692</v>
      </c>
      <c r="CF35" s="391">
        <v>75772</v>
      </c>
      <c r="CG35" s="389">
        <v>0.84161994256354156</v>
      </c>
      <c r="CH35" s="389">
        <v>0.91389913899138986</v>
      </c>
      <c r="CI35" s="389">
        <v>0.87135316643475658</v>
      </c>
      <c r="CJ35" s="391">
        <v>2113</v>
      </c>
      <c r="CK35" s="391">
        <v>1543</v>
      </c>
      <c r="CL35" s="391">
        <v>3656</v>
      </c>
      <c r="CM35" s="391">
        <v>1791</v>
      </c>
      <c r="CN35" s="391">
        <v>1339</v>
      </c>
      <c r="CO35" s="391">
        <v>3130</v>
      </c>
      <c r="CP35" s="391">
        <v>1289</v>
      </c>
      <c r="CQ35" s="391">
        <v>1177</v>
      </c>
      <c r="CR35" s="391">
        <v>2466</v>
      </c>
      <c r="CS35" s="389">
        <v>0.7197096594081519</v>
      </c>
      <c r="CT35" s="389">
        <v>0.8790141896938013</v>
      </c>
      <c r="CU35" s="389">
        <v>0.78785942492012784</v>
      </c>
      <c r="CV35" s="391">
        <v>1289</v>
      </c>
      <c r="CW35" s="391">
        <v>1177</v>
      </c>
      <c r="CX35" s="391">
        <v>2466</v>
      </c>
      <c r="CY35" s="391">
        <v>412</v>
      </c>
      <c r="CZ35" s="391">
        <v>724</v>
      </c>
      <c r="DA35" s="391">
        <v>1136</v>
      </c>
      <c r="DB35" s="389">
        <v>0.31962761830876646</v>
      </c>
      <c r="DC35" s="389">
        <v>0.61512319456244691</v>
      </c>
      <c r="DD35" s="389">
        <v>0.46066504460665042</v>
      </c>
    </row>
    <row r="36" spans="1:140" ht="31.5" x14ac:dyDescent="0.25">
      <c r="A36" s="423">
        <v>30</v>
      </c>
      <c r="B36" s="492" t="s">
        <v>361</v>
      </c>
      <c r="C36" s="424" t="s">
        <v>212</v>
      </c>
      <c r="D36" s="392">
        <v>595167</v>
      </c>
      <c r="E36" s="392">
        <v>497357</v>
      </c>
      <c r="F36" s="392">
        <v>1092524</v>
      </c>
      <c r="G36" s="392">
        <v>572855</v>
      </c>
      <c r="H36" s="392">
        <v>486295</v>
      </c>
      <c r="I36" s="392">
        <v>1059150</v>
      </c>
      <c r="J36" s="392">
        <v>468392</v>
      </c>
      <c r="K36" s="392">
        <v>410973</v>
      </c>
      <c r="L36" s="392">
        <v>879365</v>
      </c>
      <c r="M36" s="389">
        <v>0.81764495378411639</v>
      </c>
      <c r="N36" s="389">
        <v>0.84511047820767227</v>
      </c>
      <c r="O36" s="389">
        <v>0.83025539347590049</v>
      </c>
      <c r="P36" s="388">
        <v>468392</v>
      </c>
      <c r="Q36" s="388">
        <v>410973</v>
      </c>
      <c r="R36" s="388">
        <v>879365</v>
      </c>
      <c r="S36" s="388">
        <v>178960</v>
      </c>
      <c r="T36" s="388">
        <v>180267</v>
      </c>
      <c r="U36" s="388">
        <v>359227</v>
      </c>
      <c r="V36" s="389">
        <v>0.38207313532255033</v>
      </c>
      <c r="W36" s="389">
        <v>0.43863465483133929</v>
      </c>
      <c r="X36" s="389">
        <v>0.40850727513603569</v>
      </c>
      <c r="Y36" s="391">
        <v>337422</v>
      </c>
      <c r="Z36" s="391">
        <v>343179</v>
      </c>
      <c r="AA36" s="391">
        <v>680601</v>
      </c>
      <c r="AB36" s="391">
        <v>322776</v>
      </c>
      <c r="AC36" s="391">
        <v>334656</v>
      </c>
      <c r="AD36" s="391">
        <v>657432</v>
      </c>
      <c r="AE36" s="391">
        <v>248918</v>
      </c>
      <c r="AF36" s="391">
        <v>271007</v>
      </c>
      <c r="AG36" s="391">
        <v>519925</v>
      </c>
      <c r="AH36" s="389">
        <v>0.77117877413438418</v>
      </c>
      <c r="AI36" s="389">
        <v>0.80980768311340601</v>
      </c>
      <c r="AJ36" s="389">
        <v>0.7908422468027112</v>
      </c>
      <c r="AK36" s="391">
        <v>248918</v>
      </c>
      <c r="AL36" s="391">
        <v>271007</v>
      </c>
      <c r="AM36" s="391">
        <v>519925</v>
      </c>
      <c r="AN36" s="391">
        <v>64634</v>
      </c>
      <c r="AO36" s="391">
        <v>88977</v>
      </c>
      <c r="AP36" s="391">
        <v>153611</v>
      </c>
      <c r="AQ36" s="389">
        <v>0.25965980764749835</v>
      </c>
      <c r="AR36" s="389">
        <v>0.32831993269546544</v>
      </c>
      <c r="AS36" s="389">
        <v>0.29544838197816992</v>
      </c>
      <c r="AT36" s="390"/>
      <c r="AU36" s="390"/>
      <c r="AV36" s="390"/>
      <c r="AW36" s="390"/>
      <c r="AX36" s="390"/>
      <c r="AY36" s="390"/>
      <c r="AZ36" s="390"/>
      <c r="BA36" s="390"/>
      <c r="BB36" s="390"/>
      <c r="BC36" s="390"/>
      <c r="BD36" s="390"/>
      <c r="BE36" s="390"/>
      <c r="BF36" s="390"/>
      <c r="BG36" s="390"/>
      <c r="BH36" s="390"/>
      <c r="BI36" s="390"/>
      <c r="BJ36" s="390"/>
      <c r="BK36" s="390"/>
      <c r="BL36" s="390"/>
      <c r="BM36" s="390"/>
      <c r="BN36" s="390"/>
      <c r="BO36" s="391">
        <v>256779</v>
      </c>
      <c r="BP36" s="391">
        <v>153435</v>
      </c>
      <c r="BQ36" s="391">
        <v>410214</v>
      </c>
      <c r="BR36" s="391">
        <v>249349</v>
      </c>
      <c r="BS36" s="391">
        <v>151012</v>
      </c>
      <c r="BT36" s="391">
        <v>400361</v>
      </c>
      <c r="BU36" s="391">
        <v>219246</v>
      </c>
      <c r="BV36" s="391">
        <v>139765</v>
      </c>
      <c r="BW36" s="391">
        <v>359011</v>
      </c>
      <c r="BX36" s="389">
        <v>0.87927362852868873</v>
      </c>
      <c r="BY36" s="389">
        <v>0.92552247503509655</v>
      </c>
      <c r="BZ36" s="389">
        <v>0.89671821181383804</v>
      </c>
      <c r="CA36" s="391">
        <v>219246</v>
      </c>
      <c r="CB36" s="391">
        <v>139765</v>
      </c>
      <c r="CC36" s="391">
        <v>359011</v>
      </c>
      <c r="CD36" s="391">
        <v>114311</v>
      </c>
      <c r="CE36" s="391">
        <v>91261</v>
      </c>
      <c r="CF36" s="391">
        <v>205572</v>
      </c>
      <c r="CG36" s="389">
        <v>0.52138237413681432</v>
      </c>
      <c r="CH36" s="389">
        <v>0.65296032626193967</v>
      </c>
      <c r="CI36" s="389">
        <v>0.57260641038853966</v>
      </c>
      <c r="CJ36" s="391">
        <v>966</v>
      </c>
      <c r="CK36" s="391">
        <v>743</v>
      </c>
      <c r="CL36" s="391">
        <v>1709</v>
      </c>
      <c r="CM36" s="391">
        <v>730</v>
      </c>
      <c r="CN36" s="391">
        <v>627</v>
      </c>
      <c r="CO36" s="391">
        <v>1357</v>
      </c>
      <c r="CP36" s="391">
        <v>228</v>
      </c>
      <c r="CQ36" s="391">
        <v>201</v>
      </c>
      <c r="CR36" s="391">
        <v>429</v>
      </c>
      <c r="CS36" s="389">
        <v>0.31232876712328766</v>
      </c>
      <c r="CT36" s="389">
        <v>0.32057416267942584</v>
      </c>
      <c r="CU36" s="389">
        <v>0.31613854089904203</v>
      </c>
      <c r="CV36" s="391">
        <v>228</v>
      </c>
      <c r="CW36" s="391">
        <v>201</v>
      </c>
      <c r="CX36" s="391">
        <v>429</v>
      </c>
      <c r="CY36" s="391">
        <v>15</v>
      </c>
      <c r="CZ36" s="391">
        <v>29</v>
      </c>
      <c r="DA36" s="391">
        <v>44</v>
      </c>
      <c r="DB36" s="389">
        <v>6.5789473684210523E-2</v>
      </c>
      <c r="DC36" s="389">
        <v>0.14427860696517414</v>
      </c>
      <c r="DD36" s="389">
        <v>0.10256410256410256</v>
      </c>
    </row>
    <row r="37" spans="1:140" s="379" customFormat="1" ht="30" customHeight="1" x14ac:dyDescent="0.25">
      <c r="A37" s="423">
        <v>31</v>
      </c>
      <c r="B37" s="493"/>
      <c r="C37" s="424" t="s">
        <v>421</v>
      </c>
      <c r="D37" s="392">
        <v>17</v>
      </c>
      <c r="E37" s="392">
        <v>491</v>
      </c>
      <c r="F37" s="392">
        <v>508</v>
      </c>
      <c r="G37" s="392">
        <v>17</v>
      </c>
      <c r="H37" s="392">
        <v>491</v>
      </c>
      <c r="I37" s="392">
        <v>508</v>
      </c>
      <c r="J37" s="392">
        <v>17</v>
      </c>
      <c r="K37" s="392">
        <v>491</v>
      </c>
      <c r="L37" s="392">
        <v>508</v>
      </c>
      <c r="M37" s="389">
        <v>1</v>
      </c>
      <c r="N37" s="389">
        <v>1</v>
      </c>
      <c r="O37" s="389">
        <v>1</v>
      </c>
      <c r="P37" s="388">
        <v>17</v>
      </c>
      <c r="Q37" s="388">
        <v>491</v>
      </c>
      <c r="R37" s="388">
        <v>508</v>
      </c>
      <c r="S37" s="388">
        <v>16</v>
      </c>
      <c r="T37" s="388">
        <v>487</v>
      </c>
      <c r="U37" s="388">
        <v>503</v>
      </c>
      <c r="V37" s="389">
        <v>0.94117647058823528</v>
      </c>
      <c r="W37" s="389">
        <v>0.99185336048879835</v>
      </c>
      <c r="X37" s="389">
        <v>0.99015748031496065</v>
      </c>
      <c r="Y37" s="393"/>
      <c r="Z37" s="393"/>
      <c r="AA37" s="393"/>
      <c r="AB37" s="393"/>
      <c r="AC37" s="393"/>
      <c r="AD37" s="393"/>
      <c r="AE37" s="393"/>
      <c r="AF37" s="393"/>
      <c r="AG37" s="393"/>
      <c r="AH37" s="390"/>
      <c r="AI37" s="390"/>
      <c r="AJ37" s="390"/>
      <c r="AK37" s="390"/>
      <c r="AL37" s="390"/>
      <c r="AM37" s="390"/>
      <c r="AN37" s="390"/>
      <c r="AO37" s="390"/>
      <c r="AP37" s="390"/>
      <c r="AQ37" s="390"/>
      <c r="AR37" s="390"/>
      <c r="AS37" s="390"/>
      <c r="AT37" s="390"/>
      <c r="AU37" s="390"/>
      <c r="AV37" s="390"/>
      <c r="AW37" s="390"/>
      <c r="AX37" s="390"/>
      <c r="AY37" s="390"/>
      <c r="AZ37" s="390"/>
      <c r="BA37" s="390"/>
      <c r="BB37" s="390"/>
      <c r="BC37" s="390"/>
      <c r="BD37" s="390"/>
      <c r="BE37" s="390"/>
      <c r="BF37" s="390"/>
      <c r="BG37" s="390"/>
      <c r="BH37" s="390"/>
      <c r="BI37" s="390"/>
      <c r="BJ37" s="390"/>
      <c r="BK37" s="390"/>
      <c r="BL37" s="390"/>
      <c r="BM37" s="390"/>
      <c r="BN37" s="390"/>
      <c r="BO37" s="391">
        <v>17</v>
      </c>
      <c r="BP37" s="391">
        <v>491</v>
      </c>
      <c r="BQ37" s="391">
        <v>508</v>
      </c>
      <c r="BR37" s="391">
        <v>17</v>
      </c>
      <c r="BS37" s="391">
        <v>491</v>
      </c>
      <c r="BT37" s="391">
        <v>508</v>
      </c>
      <c r="BU37" s="391">
        <v>17</v>
      </c>
      <c r="BV37" s="391">
        <v>491</v>
      </c>
      <c r="BW37" s="391">
        <v>508</v>
      </c>
      <c r="BX37" s="389">
        <v>1</v>
      </c>
      <c r="BY37" s="389">
        <v>1</v>
      </c>
      <c r="BZ37" s="389">
        <v>1</v>
      </c>
      <c r="CA37" s="391">
        <v>17</v>
      </c>
      <c r="CB37" s="391">
        <v>491</v>
      </c>
      <c r="CC37" s="391">
        <v>508</v>
      </c>
      <c r="CD37" s="391">
        <v>16</v>
      </c>
      <c r="CE37" s="391">
        <v>487</v>
      </c>
      <c r="CF37" s="391">
        <v>503</v>
      </c>
      <c r="CG37" s="389">
        <v>0.94117647058823528</v>
      </c>
      <c r="CH37" s="389">
        <v>0.99185336048879835</v>
      </c>
      <c r="CI37" s="389">
        <v>0.99015748031496065</v>
      </c>
      <c r="CJ37" s="390"/>
      <c r="CK37" s="390"/>
      <c r="CL37" s="390"/>
      <c r="CM37" s="390"/>
      <c r="CN37" s="390"/>
      <c r="CO37" s="390"/>
      <c r="CP37" s="390"/>
      <c r="CQ37" s="390"/>
      <c r="CR37" s="390"/>
      <c r="CS37" s="390"/>
      <c r="CT37" s="390"/>
      <c r="CU37" s="390"/>
      <c r="CV37" s="390"/>
      <c r="CW37" s="390"/>
      <c r="CX37" s="390"/>
      <c r="CY37" s="390"/>
      <c r="CZ37" s="390"/>
      <c r="DA37" s="390"/>
      <c r="DB37" s="390"/>
      <c r="DC37" s="390"/>
      <c r="DD37" s="390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H37"/>
      <c r="EI37"/>
      <c r="EJ37"/>
    </row>
    <row r="38" spans="1:140" s="378" customFormat="1" ht="33" customHeight="1" x14ac:dyDescent="0.25">
      <c r="A38" s="423">
        <v>32</v>
      </c>
      <c r="B38" s="450" t="s">
        <v>382</v>
      </c>
      <c r="C38" s="424" t="s">
        <v>350</v>
      </c>
      <c r="D38" s="392">
        <v>570389</v>
      </c>
      <c r="E38" s="392">
        <v>509169</v>
      </c>
      <c r="F38" s="392">
        <v>1079558</v>
      </c>
      <c r="G38" s="392">
        <v>543890</v>
      </c>
      <c r="H38" s="392">
        <v>493147</v>
      </c>
      <c r="I38" s="392">
        <v>1037037</v>
      </c>
      <c r="J38" s="392">
        <v>415784</v>
      </c>
      <c r="K38" s="392">
        <v>439689</v>
      </c>
      <c r="L38" s="392">
        <v>855473</v>
      </c>
      <c r="M38" s="389">
        <v>0.76446340252624612</v>
      </c>
      <c r="N38" s="389">
        <v>0.89159824555355705</v>
      </c>
      <c r="O38" s="389">
        <v>0.82492042231858653</v>
      </c>
      <c r="P38" s="388">
        <v>415784</v>
      </c>
      <c r="Q38" s="388">
        <v>439689</v>
      </c>
      <c r="R38" s="388">
        <v>855473</v>
      </c>
      <c r="S38" s="388">
        <v>152178</v>
      </c>
      <c r="T38" s="388">
        <v>241412</v>
      </c>
      <c r="U38" s="388">
        <v>393590</v>
      </c>
      <c r="V38" s="389">
        <v>0.36600253978027053</v>
      </c>
      <c r="W38" s="389">
        <v>0.5490517160993339</v>
      </c>
      <c r="X38" s="389">
        <v>0.46008465492189698</v>
      </c>
      <c r="Y38" s="391">
        <v>221227</v>
      </c>
      <c r="Z38" s="391">
        <v>227889</v>
      </c>
      <c r="AA38" s="391">
        <v>449116</v>
      </c>
      <c r="AB38" s="391">
        <v>203024</v>
      </c>
      <c r="AC38" s="391">
        <v>215902</v>
      </c>
      <c r="AD38" s="391">
        <v>418926</v>
      </c>
      <c r="AE38" s="391">
        <v>159157</v>
      </c>
      <c r="AF38" s="391">
        <v>196822</v>
      </c>
      <c r="AG38" s="391">
        <v>355979</v>
      </c>
      <c r="AH38" s="389">
        <v>0.78393194893214591</v>
      </c>
      <c r="AI38" s="389">
        <v>0.91162657131476321</v>
      </c>
      <c r="AJ38" s="389">
        <v>0.84974195920043161</v>
      </c>
      <c r="AK38" s="391">
        <v>159157</v>
      </c>
      <c r="AL38" s="391">
        <v>196822</v>
      </c>
      <c r="AM38" s="391">
        <v>355979</v>
      </c>
      <c r="AN38" s="391">
        <v>32772</v>
      </c>
      <c r="AO38" s="391">
        <v>79363</v>
      </c>
      <c r="AP38" s="391">
        <v>112135</v>
      </c>
      <c r="AQ38" s="389">
        <v>0.20590988772092964</v>
      </c>
      <c r="AR38" s="389">
        <v>0.40322220077023913</v>
      </c>
      <c r="AS38" s="389">
        <v>0.31500453678447327</v>
      </c>
      <c r="AT38" s="391">
        <v>111766</v>
      </c>
      <c r="AU38" s="391">
        <v>117448</v>
      </c>
      <c r="AV38" s="391">
        <v>229214</v>
      </c>
      <c r="AW38" s="391">
        <v>104253</v>
      </c>
      <c r="AX38" s="391">
        <v>113812</v>
      </c>
      <c r="AY38" s="391">
        <v>218065</v>
      </c>
      <c r="AZ38" s="391">
        <v>87017</v>
      </c>
      <c r="BA38" s="391">
        <v>108526</v>
      </c>
      <c r="BB38" s="391">
        <v>195543</v>
      </c>
      <c r="BC38" s="389">
        <v>0.83467142432352071</v>
      </c>
      <c r="BD38" s="389">
        <v>0.95355498541454331</v>
      </c>
      <c r="BE38" s="389">
        <v>0.89671886822736335</v>
      </c>
      <c r="BF38" s="391">
        <v>87017</v>
      </c>
      <c r="BG38" s="391">
        <v>108526</v>
      </c>
      <c r="BH38" s="391">
        <v>195543</v>
      </c>
      <c r="BI38" s="391">
        <v>25239</v>
      </c>
      <c r="BJ38" s="391">
        <v>59843</v>
      </c>
      <c r="BK38" s="391">
        <v>85082</v>
      </c>
      <c r="BL38" s="389">
        <v>0.2900467724697473</v>
      </c>
      <c r="BM38" s="389">
        <v>0.55141625048375509</v>
      </c>
      <c r="BN38" s="389">
        <v>0.43510634489600752</v>
      </c>
      <c r="BO38" s="391">
        <v>237396</v>
      </c>
      <c r="BP38" s="391">
        <v>163832</v>
      </c>
      <c r="BQ38" s="391">
        <v>401228</v>
      </c>
      <c r="BR38" s="391">
        <v>236613</v>
      </c>
      <c r="BS38" s="391">
        <v>163433</v>
      </c>
      <c r="BT38" s="391">
        <v>400046</v>
      </c>
      <c r="BU38" s="391">
        <v>169610</v>
      </c>
      <c r="BV38" s="391">
        <v>134341</v>
      </c>
      <c r="BW38" s="391">
        <v>303951</v>
      </c>
      <c r="BX38" s="389">
        <v>0.71682451936284142</v>
      </c>
      <c r="BY38" s="389">
        <v>0.82199433406961875</v>
      </c>
      <c r="BZ38" s="389">
        <v>0.75979012413572444</v>
      </c>
      <c r="CA38" s="391">
        <v>169610</v>
      </c>
      <c r="CB38" s="391">
        <v>134341</v>
      </c>
      <c r="CC38" s="391">
        <v>303951</v>
      </c>
      <c r="CD38" s="391">
        <v>94167</v>
      </c>
      <c r="CE38" s="391">
        <v>102206</v>
      </c>
      <c r="CF38" s="391">
        <v>196373</v>
      </c>
      <c r="CG38" s="389">
        <v>0.55519721714521553</v>
      </c>
      <c r="CH38" s="389">
        <v>0.76079528959885667</v>
      </c>
      <c r="CI38" s="389">
        <v>0.64606795174222165</v>
      </c>
      <c r="CJ38" s="390"/>
      <c r="CK38" s="390"/>
      <c r="CL38" s="390"/>
      <c r="CM38" s="390"/>
      <c r="CN38" s="390"/>
      <c r="CO38" s="390"/>
      <c r="CP38" s="390"/>
      <c r="CQ38" s="390"/>
      <c r="CR38" s="390"/>
      <c r="CS38" s="390"/>
      <c r="CT38" s="390"/>
      <c r="CU38" s="390"/>
      <c r="CV38" s="390"/>
      <c r="CW38" s="390"/>
      <c r="CX38" s="390"/>
      <c r="CY38" s="390"/>
      <c r="CZ38" s="390"/>
      <c r="DA38" s="390"/>
      <c r="DB38" s="390"/>
      <c r="DC38" s="390"/>
      <c r="DD38" s="390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H38"/>
      <c r="EI38"/>
      <c r="EJ38"/>
    </row>
    <row r="39" spans="1:140" s="376" customFormat="1" ht="35.25" customHeight="1" x14ac:dyDescent="0.25">
      <c r="A39" s="423">
        <v>33</v>
      </c>
      <c r="B39" s="450" t="s">
        <v>359</v>
      </c>
      <c r="C39" s="424" t="s">
        <v>354</v>
      </c>
      <c r="D39" s="391">
        <v>258116</v>
      </c>
      <c r="E39" s="391">
        <v>251191</v>
      </c>
      <c r="F39" s="391">
        <v>509307</v>
      </c>
      <c r="G39" s="391">
        <v>255876</v>
      </c>
      <c r="H39" s="391">
        <v>248522</v>
      </c>
      <c r="I39" s="391">
        <v>504398</v>
      </c>
      <c r="J39" s="391">
        <v>247814</v>
      </c>
      <c r="K39" s="391">
        <v>244259</v>
      </c>
      <c r="L39" s="391">
        <v>492073</v>
      </c>
      <c r="M39" s="389">
        <v>0.96849255107942911</v>
      </c>
      <c r="N39" s="389">
        <v>0.98284658903437117</v>
      </c>
      <c r="O39" s="389">
        <v>0.97556493086808438</v>
      </c>
      <c r="P39" s="391">
        <v>247814</v>
      </c>
      <c r="Q39" s="391">
        <v>244259</v>
      </c>
      <c r="R39" s="391">
        <v>492073</v>
      </c>
      <c r="S39" s="391">
        <v>227424</v>
      </c>
      <c r="T39" s="391">
        <v>235427</v>
      </c>
      <c r="U39" s="391">
        <v>462851</v>
      </c>
      <c r="V39" s="389">
        <v>0.91772054847587303</v>
      </c>
      <c r="W39" s="389">
        <v>0.96384165987742521</v>
      </c>
      <c r="X39" s="389">
        <v>0.94061450231977772</v>
      </c>
      <c r="Y39" s="391">
        <v>94804</v>
      </c>
      <c r="Z39" s="391">
        <v>84840</v>
      </c>
      <c r="AA39" s="391">
        <v>179644</v>
      </c>
      <c r="AB39" s="391">
        <v>93555</v>
      </c>
      <c r="AC39" s="391">
        <v>83484</v>
      </c>
      <c r="AD39" s="391">
        <v>177039</v>
      </c>
      <c r="AE39" s="391">
        <v>88634</v>
      </c>
      <c r="AF39" s="391">
        <v>81023</v>
      </c>
      <c r="AG39" s="391">
        <v>169657</v>
      </c>
      <c r="AH39" s="389">
        <v>0.947399925177703</v>
      </c>
      <c r="AI39" s="389">
        <v>0.97052129749413063</v>
      </c>
      <c r="AJ39" s="389">
        <v>0.95830297279130583</v>
      </c>
      <c r="AK39" s="391">
        <v>88634</v>
      </c>
      <c r="AL39" s="391">
        <v>81023</v>
      </c>
      <c r="AM39" s="391">
        <v>169657</v>
      </c>
      <c r="AN39" s="391">
        <v>75009</v>
      </c>
      <c r="AO39" s="391">
        <v>75401</v>
      </c>
      <c r="AP39" s="391">
        <v>150410</v>
      </c>
      <c r="AQ39" s="389">
        <v>0.84627795202743872</v>
      </c>
      <c r="AR39" s="389">
        <v>0.93061229527418143</v>
      </c>
      <c r="AS39" s="389">
        <v>0.88655345785909212</v>
      </c>
      <c r="AT39" s="391">
        <v>2865</v>
      </c>
      <c r="AU39" s="391">
        <v>5111</v>
      </c>
      <c r="AV39" s="391">
        <v>7976</v>
      </c>
      <c r="AW39" s="391">
        <v>2833</v>
      </c>
      <c r="AX39" s="391">
        <v>5054</v>
      </c>
      <c r="AY39" s="391">
        <v>7887</v>
      </c>
      <c r="AZ39" s="391">
        <v>2673</v>
      </c>
      <c r="BA39" s="391">
        <v>4931</v>
      </c>
      <c r="BB39" s="391">
        <v>7604</v>
      </c>
      <c r="BC39" s="389">
        <v>0.94352276738439822</v>
      </c>
      <c r="BD39" s="389">
        <v>0.97566284131381087</v>
      </c>
      <c r="BE39" s="389">
        <v>0.96411816913908965</v>
      </c>
      <c r="BF39" s="391">
        <v>2673</v>
      </c>
      <c r="BG39" s="391">
        <v>4931</v>
      </c>
      <c r="BH39" s="391">
        <v>7604</v>
      </c>
      <c r="BI39" s="391">
        <v>2282</v>
      </c>
      <c r="BJ39" s="391">
        <v>4611</v>
      </c>
      <c r="BK39" s="391">
        <v>6893</v>
      </c>
      <c r="BL39" s="389">
        <v>0.85372240927796483</v>
      </c>
      <c r="BM39" s="389">
        <v>0.93510444128979919</v>
      </c>
      <c r="BN39" s="391">
        <v>0.90649658074697526</v>
      </c>
      <c r="BO39" s="391">
        <v>123415</v>
      </c>
      <c r="BP39" s="391">
        <v>100977</v>
      </c>
      <c r="BQ39" s="391">
        <v>224392</v>
      </c>
      <c r="BR39" s="391">
        <v>122872</v>
      </c>
      <c r="BS39" s="391">
        <v>100488</v>
      </c>
      <c r="BT39" s="391">
        <v>223360</v>
      </c>
      <c r="BU39" s="391">
        <v>120165</v>
      </c>
      <c r="BV39" s="391">
        <v>99260</v>
      </c>
      <c r="BW39" s="391">
        <v>219425</v>
      </c>
      <c r="BX39" s="389">
        <v>0.97796894329057882</v>
      </c>
      <c r="BY39" s="389">
        <v>0.98777963537934876</v>
      </c>
      <c r="BZ39" s="389">
        <v>0.98238270057306587</v>
      </c>
      <c r="CA39" s="391">
        <v>120165</v>
      </c>
      <c r="CB39" s="391">
        <v>99260</v>
      </c>
      <c r="CC39" s="391">
        <v>219425</v>
      </c>
      <c r="CD39" s="391">
        <v>114715</v>
      </c>
      <c r="CE39" s="391">
        <v>97350</v>
      </c>
      <c r="CF39" s="391">
        <v>212065</v>
      </c>
      <c r="CG39" s="389">
        <v>0.95464569550201805</v>
      </c>
      <c r="CH39" s="389">
        <v>0.9807576062865202</v>
      </c>
      <c r="CI39" s="389">
        <v>0.96645778739888344</v>
      </c>
      <c r="CJ39" s="391">
        <v>37032</v>
      </c>
      <c r="CK39" s="391">
        <v>60263</v>
      </c>
      <c r="CL39" s="391">
        <v>97295</v>
      </c>
      <c r="CM39" s="391">
        <v>36616</v>
      </c>
      <c r="CN39" s="391">
        <v>59496</v>
      </c>
      <c r="CO39" s="391">
        <v>96112</v>
      </c>
      <c r="CP39" s="391">
        <v>36342</v>
      </c>
      <c r="CQ39" s="391">
        <v>59045</v>
      </c>
      <c r="CR39" s="391">
        <v>95387</v>
      </c>
      <c r="CS39" s="389">
        <v>0.99251693248852957</v>
      </c>
      <c r="CT39" s="389">
        <v>0.99241965846443458</v>
      </c>
      <c r="CU39" s="389">
        <v>0.99245671716330952</v>
      </c>
      <c r="CV39" s="391">
        <v>36342</v>
      </c>
      <c r="CW39" s="391">
        <v>59045</v>
      </c>
      <c r="CX39" s="391">
        <v>95387</v>
      </c>
      <c r="CY39" s="391">
        <v>35418</v>
      </c>
      <c r="CZ39" s="391">
        <v>58065</v>
      </c>
      <c r="DA39" s="391">
        <v>93483</v>
      </c>
      <c r="DB39" s="389">
        <v>0.97457487204886906</v>
      </c>
      <c r="DC39" s="389">
        <v>0.98340248962655596</v>
      </c>
      <c r="DD39" s="389">
        <v>0.98003920869720196</v>
      </c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H39"/>
      <c r="EI39"/>
      <c r="EJ39"/>
    </row>
    <row r="40" spans="1:140" s="378" customFormat="1" ht="37.5" customHeight="1" x14ac:dyDescent="0.25">
      <c r="A40" s="423">
        <v>34</v>
      </c>
      <c r="B40" s="450" t="s">
        <v>383</v>
      </c>
      <c r="C40" s="424" t="s">
        <v>165</v>
      </c>
      <c r="D40" s="392">
        <v>25530</v>
      </c>
      <c r="E40" s="392">
        <v>26762</v>
      </c>
      <c r="F40" s="392">
        <v>52292</v>
      </c>
      <c r="G40" s="392">
        <v>20534</v>
      </c>
      <c r="H40" s="392">
        <v>22263</v>
      </c>
      <c r="I40" s="392">
        <v>42797</v>
      </c>
      <c r="J40" s="392">
        <v>18778</v>
      </c>
      <c r="K40" s="392">
        <v>20201</v>
      </c>
      <c r="L40" s="392">
        <v>38979</v>
      </c>
      <c r="M40" s="389">
        <v>0.91448329599688327</v>
      </c>
      <c r="N40" s="389">
        <v>0.90737995777747837</v>
      </c>
      <c r="O40" s="389">
        <v>0.91078813935556235</v>
      </c>
      <c r="P40" s="388">
        <v>18778</v>
      </c>
      <c r="Q40" s="388">
        <v>20201</v>
      </c>
      <c r="R40" s="388">
        <v>38979</v>
      </c>
      <c r="S40" s="388">
        <v>6508</v>
      </c>
      <c r="T40" s="388">
        <v>8290</v>
      </c>
      <c r="U40" s="388">
        <v>14798</v>
      </c>
      <c r="V40" s="389">
        <v>0.34657578016828205</v>
      </c>
      <c r="W40" s="389">
        <v>0.41037572397406069</v>
      </c>
      <c r="X40" s="389">
        <v>0.37964031914620694</v>
      </c>
      <c r="Y40" s="393"/>
      <c r="Z40" s="393"/>
      <c r="AA40" s="393"/>
      <c r="AB40" s="393"/>
      <c r="AC40" s="393"/>
      <c r="AD40" s="393"/>
      <c r="AE40" s="393"/>
      <c r="AF40" s="393"/>
      <c r="AG40" s="393"/>
      <c r="AH40" s="390"/>
      <c r="AI40" s="390"/>
      <c r="AJ40" s="390"/>
      <c r="AK40" s="390"/>
      <c r="AL40" s="390"/>
      <c r="AM40" s="390"/>
      <c r="AN40" s="390"/>
      <c r="AO40" s="390"/>
      <c r="AP40" s="390"/>
      <c r="AQ40" s="390"/>
      <c r="AR40" s="390"/>
      <c r="AS40" s="390"/>
      <c r="AT40" s="390"/>
      <c r="AU40" s="390"/>
      <c r="AV40" s="390"/>
      <c r="AW40" s="390"/>
      <c r="AX40" s="390"/>
      <c r="AY40" s="390"/>
      <c r="AZ40" s="390"/>
      <c r="BA40" s="390"/>
      <c r="BB40" s="390"/>
      <c r="BC40" s="390"/>
      <c r="BD40" s="390"/>
      <c r="BE40" s="390"/>
      <c r="BF40" s="390"/>
      <c r="BG40" s="390"/>
      <c r="BH40" s="390"/>
      <c r="BI40" s="390"/>
      <c r="BJ40" s="390"/>
      <c r="BK40" s="390"/>
      <c r="BL40" s="390"/>
      <c r="BM40" s="390"/>
      <c r="BN40" s="390"/>
      <c r="BO40" s="390"/>
      <c r="BP40" s="390"/>
      <c r="BQ40" s="390"/>
      <c r="BR40" s="390"/>
      <c r="BS40" s="390"/>
      <c r="BT40" s="390"/>
      <c r="BU40" s="390"/>
      <c r="BV40" s="390"/>
      <c r="BW40" s="390"/>
      <c r="BX40" s="390"/>
      <c r="BY40" s="390"/>
      <c r="BZ40" s="390"/>
      <c r="CA40" s="390"/>
      <c r="CB40" s="390"/>
      <c r="CC40" s="390"/>
      <c r="CD40" s="390"/>
      <c r="CE40" s="390"/>
      <c r="CF40" s="390"/>
      <c r="CG40" s="390"/>
      <c r="CH40" s="390"/>
      <c r="CI40" s="390"/>
      <c r="CJ40" s="390"/>
      <c r="CK40" s="390"/>
      <c r="CL40" s="390"/>
      <c r="CM40" s="390"/>
      <c r="CN40" s="390"/>
      <c r="CO40" s="390"/>
      <c r="CP40" s="390"/>
      <c r="CQ40" s="390"/>
      <c r="CR40" s="390"/>
      <c r="CS40" s="390"/>
      <c r="CT40" s="390"/>
      <c r="CU40" s="390"/>
      <c r="CV40" s="390"/>
      <c r="CW40" s="390"/>
      <c r="CX40" s="390"/>
      <c r="CY40" s="390"/>
      <c r="CZ40" s="390"/>
      <c r="DA40" s="390"/>
      <c r="DB40" s="390"/>
      <c r="DC40" s="390"/>
      <c r="DD40" s="39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H40"/>
      <c r="EI40"/>
      <c r="EJ40"/>
    </row>
    <row r="41" spans="1:140" s="362" customFormat="1" ht="33" customHeight="1" x14ac:dyDescent="0.25">
      <c r="A41" s="423">
        <v>35</v>
      </c>
      <c r="B41" s="489" t="s">
        <v>384</v>
      </c>
      <c r="C41" s="424" t="s">
        <v>351</v>
      </c>
      <c r="D41" s="392">
        <v>1552666</v>
      </c>
      <c r="E41" s="392">
        <v>1228979</v>
      </c>
      <c r="F41" s="392">
        <v>2781645</v>
      </c>
      <c r="G41" s="392">
        <v>1371859</v>
      </c>
      <c r="H41" s="392">
        <v>1148772</v>
      </c>
      <c r="I41" s="392">
        <v>2520631</v>
      </c>
      <c r="J41" s="392">
        <v>1169571</v>
      </c>
      <c r="K41" s="392">
        <v>1053297</v>
      </c>
      <c r="L41" s="392">
        <v>2222868</v>
      </c>
      <c r="M41" s="389">
        <v>0.85254461282099692</v>
      </c>
      <c r="N41" s="389">
        <v>0.91688951332379276</v>
      </c>
      <c r="O41" s="389">
        <v>0.88186965882749202</v>
      </c>
      <c r="P41" s="388">
        <v>1169571</v>
      </c>
      <c r="Q41" s="388">
        <v>1053297</v>
      </c>
      <c r="R41" s="388">
        <v>2222868</v>
      </c>
      <c r="S41" s="388">
        <v>820984</v>
      </c>
      <c r="T41" s="388">
        <v>851094</v>
      </c>
      <c r="U41" s="388">
        <v>1672078</v>
      </c>
      <c r="V41" s="389">
        <v>0.70195310930247079</v>
      </c>
      <c r="W41" s="389">
        <v>0.80802850478070287</v>
      </c>
      <c r="X41" s="389">
        <v>0.75221650588339029</v>
      </c>
      <c r="Y41" s="391">
        <v>54546</v>
      </c>
      <c r="Z41" s="391">
        <v>79643</v>
      </c>
      <c r="AA41" s="391">
        <v>134189</v>
      </c>
      <c r="AB41" s="391">
        <v>51616</v>
      </c>
      <c r="AC41" s="391">
        <v>77306</v>
      </c>
      <c r="AD41" s="391">
        <v>128922</v>
      </c>
      <c r="AE41" s="391">
        <v>41550</v>
      </c>
      <c r="AF41" s="391">
        <v>69138</v>
      </c>
      <c r="AG41" s="391">
        <v>110688</v>
      </c>
      <c r="AH41" s="389">
        <v>0.8049829510229386</v>
      </c>
      <c r="AI41" s="389">
        <v>0.89434196569477142</v>
      </c>
      <c r="AJ41" s="389">
        <v>0.85856564434309113</v>
      </c>
      <c r="AK41" s="391">
        <v>41550</v>
      </c>
      <c r="AL41" s="391">
        <v>69138</v>
      </c>
      <c r="AM41" s="391">
        <v>110688</v>
      </c>
      <c r="AN41" s="391">
        <v>24041</v>
      </c>
      <c r="AO41" s="391">
        <v>49334</v>
      </c>
      <c r="AP41" s="391">
        <v>73375</v>
      </c>
      <c r="AQ41" s="389">
        <v>0.57860409145607705</v>
      </c>
      <c r="AR41" s="389">
        <v>0.71355839046544589</v>
      </c>
      <c r="AS41" s="389">
        <v>0.66289932061289392</v>
      </c>
      <c r="AT41" s="391">
        <v>405951</v>
      </c>
      <c r="AU41" s="391">
        <v>314957</v>
      </c>
      <c r="AV41" s="391">
        <v>720908</v>
      </c>
      <c r="AW41" s="391">
        <v>388287</v>
      </c>
      <c r="AX41" s="391">
        <v>306897</v>
      </c>
      <c r="AY41" s="391">
        <v>695184</v>
      </c>
      <c r="AZ41" s="391">
        <v>319960</v>
      </c>
      <c r="BA41" s="391">
        <v>273971</v>
      </c>
      <c r="BB41" s="391">
        <v>593931</v>
      </c>
      <c r="BC41" s="389">
        <v>0.82402964817261459</v>
      </c>
      <c r="BD41" s="389">
        <v>0.89271319041893538</v>
      </c>
      <c r="BE41" s="389">
        <v>0.85435079058206176</v>
      </c>
      <c r="BF41" s="391">
        <v>319960</v>
      </c>
      <c r="BG41" s="391">
        <v>273971</v>
      </c>
      <c r="BH41" s="391">
        <v>593931</v>
      </c>
      <c r="BI41" s="391">
        <v>194311</v>
      </c>
      <c r="BJ41" s="391">
        <v>200945</v>
      </c>
      <c r="BK41" s="391">
        <v>395256</v>
      </c>
      <c r="BL41" s="389">
        <v>0.60729778722340289</v>
      </c>
      <c r="BM41" s="389">
        <v>0.73345354070321311</v>
      </c>
      <c r="BN41" s="389">
        <v>0.6654914459760477</v>
      </c>
      <c r="BO41" s="391">
        <v>1080661</v>
      </c>
      <c r="BP41" s="391">
        <v>828685</v>
      </c>
      <c r="BQ41" s="391">
        <v>1909346</v>
      </c>
      <c r="BR41" s="391">
        <v>922887</v>
      </c>
      <c r="BS41" s="391">
        <v>759732</v>
      </c>
      <c r="BT41" s="391">
        <v>1682619</v>
      </c>
      <c r="BU41" s="391">
        <v>801876</v>
      </c>
      <c r="BV41" s="391">
        <v>706520</v>
      </c>
      <c r="BW41" s="391">
        <v>1508396</v>
      </c>
      <c r="BX41" s="389">
        <v>0.86887777160150703</v>
      </c>
      <c r="BY41" s="389">
        <v>0.92995951203845562</v>
      </c>
      <c r="BZ41" s="389">
        <v>0.89645724908609736</v>
      </c>
      <c r="CA41" s="391">
        <v>801876</v>
      </c>
      <c r="CB41" s="391">
        <v>706520</v>
      </c>
      <c r="CC41" s="391">
        <v>1508396</v>
      </c>
      <c r="CD41" s="391">
        <v>600716</v>
      </c>
      <c r="CE41" s="391">
        <v>600081</v>
      </c>
      <c r="CF41" s="391">
        <v>1200797</v>
      </c>
      <c r="CG41" s="389">
        <v>0.74913827075507933</v>
      </c>
      <c r="CH41" s="389">
        <v>0.84934750608616882</v>
      </c>
      <c r="CI41" s="389">
        <v>0.79607543377203338</v>
      </c>
      <c r="CJ41" s="391">
        <v>11508</v>
      </c>
      <c r="CK41" s="391">
        <v>5694</v>
      </c>
      <c r="CL41" s="391">
        <v>17202</v>
      </c>
      <c r="CM41" s="391">
        <v>9069</v>
      </c>
      <c r="CN41" s="391">
        <v>4837</v>
      </c>
      <c r="CO41" s="391">
        <v>13906</v>
      </c>
      <c r="CP41" s="391">
        <v>6185</v>
      </c>
      <c r="CQ41" s="391">
        <v>3668</v>
      </c>
      <c r="CR41" s="391">
        <v>9853</v>
      </c>
      <c r="CS41" s="389">
        <v>0.68199360458705482</v>
      </c>
      <c r="CT41" s="389">
        <v>0.75832127351664258</v>
      </c>
      <c r="CU41" s="389">
        <v>0.70854307493168411</v>
      </c>
      <c r="CV41" s="391">
        <v>6185</v>
      </c>
      <c r="CW41" s="391">
        <v>3668</v>
      </c>
      <c r="CX41" s="391">
        <v>9853</v>
      </c>
      <c r="CY41" s="391">
        <v>1916</v>
      </c>
      <c r="CZ41" s="391">
        <v>734</v>
      </c>
      <c r="DA41" s="391">
        <v>2650</v>
      </c>
      <c r="DB41" s="389">
        <v>0.30978172999191594</v>
      </c>
      <c r="DC41" s="389">
        <v>0.20010905125408943</v>
      </c>
      <c r="DD41" s="389">
        <v>0.26895361818735408</v>
      </c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H41"/>
      <c r="EI41"/>
      <c r="EJ41"/>
    </row>
    <row r="42" spans="1:140" s="362" customFormat="1" ht="34.5" customHeight="1" x14ac:dyDescent="0.25">
      <c r="A42" s="423">
        <v>36</v>
      </c>
      <c r="B42" s="490"/>
      <c r="C42" s="424" t="s">
        <v>166</v>
      </c>
      <c r="D42" s="392">
        <v>90</v>
      </c>
      <c r="E42" s="392">
        <v>142</v>
      </c>
      <c r="F42" s="392">
        <v>232</v>
      </c>
      <c r="G42" s="392">
        <v>90</v>
      </c>
      <c r="H42" s="392">
        <v>140</v>
      </c>
      <c r="I42" s="392">
        <v>230</v>
      </c>
      <c r="J42" s="392">
        <v>90</v>
      </c>
      <c r="K42" s="392">
        <v>140</v>
      </c>
      <c r="L42" s="392">
        <v>230</v>
      </c>
      <c r="M42" s="389">
        <v>1</v>
      </c>
      <c r="N42" s="389">
        <v>1</v>
      </c>
      <c r="O42" s="389">
        <v>1</v>
      </c>
      <c r="P42" s="388">
        <v>90</v>
      </c>
      <c r="Q42" s="388">
        <v>140</v>
      </c>
      <c r="R42" s="388">
        <v>230</v>
      </c>
      <c r="S42" s="388">
        <v>62</v>
      </c>
      <c r="T42" s="388">
        <v>116</v>
      </c>
      <c r="U42" s="388">
        <v>178</v>
      </c>
      <c r="V42" s="389">
        <v>0.68888888888888888</v>
      </c>
      <c r="W42" s="389">
        <v>0.82857142857142863</v>
      </c>
      <c r="X42" s="389">
        <v>0.77391304347826084</v>
      </c>
      <c r="Y42" s="393"/>
      <c r="Z42" s="393"/>
      <c r="AA42" s="393"/>
      <c r="AB42" s="393"/>
      <c r="AC42" s="393"/>
      <c r="AD42" s="393"/>
      <c r="AE42" s="393"/>
      <c r="AF42" s="393"/>
      <c r="AG42" s="393"/>
      <c r="AH42" s="390"/>
      <c r="AI42" s="390"/>
      <c r="AJ42" s="390"/>
      <c r="AK42" s="390"/>
      <c r="AL42" s="390"/>
      <c r="AM42" s="390"/>
      <c r="AN42" s="390"/>
      <c r="AO42" s="390"/>
      <c r="AP42" s="390"/>
      <c r="AQ42" s="390"/>
      <c r="AR42" s="390"/>
      <c r="AS42" s="390"/>
      <c r="AT42" s="390"/>
      <c r="AU42" s="390"/>
      <c r="AV42" s="390"/>
      <c r="AW42" s="390"/>
      <c r="AX42" s="390"/>
      <c r="AY42" s="390"/>
      <c r="AZ42" s="390"/>
      <c r="BA42" s="390"/>
      <c r="BB42" s="390"/>
      <c r="BC42" s="390"/>
      <c r="BD42" s="390"/>
      <c r="BE42" s="390"/>
      <c r="BF42" s="390"/>
      <c r="BG42" s="390"/>
      <c r="BH42" s="390"/>
      <c r="BI42" s="390"/>
      <c r="BJ42" s="390"/>
      <c r="BK42" s="390"/>
      <c r="BL42" s="390"/>
      <c r="BM42" s="390"/>
      <c r="BN42" s="390"/>
      <c r="BO42" s="392">
        <v>90</v>
      </c>
      <c r="BP42" s="392">
        <v>142</v>
      </c>
      <c r="BQ42" s="392">
        <v>232</v>
      </c>
      <c r="BR42" s="392">
        <v>90</v>
      </c>
      <c r="BS42" s="392">
        <v>140</v>
      </c>
      <c r="BT42" s="392">
        <v>230</v>
      </c>
      <c r="BU42" s="392">
        <v>90</v>
      </c>
      <c r="BV42" s="392">
        <v>140</v>
      </c>
      <c r="BW42" s="392">
        <v>230</v>
      </c>
      <c r="BX42" s="389">
        <v>1</v>
      </c>
      <c r="BY42" s="389">
        <v>1</v>
      </c>
      <c r="BZ42" s="389">
        <v>1</v>
      </c>
      <c r="CA42" s="388">
        <v>90</v>
      </c>
      <c r="CB42" s="388">
        <v>140</v>
      </c>
      <c r="CC42" s="388">
        <v>230</v>
      </c>
      <c r="CD42" s="388">
        <v>62</v>
      </c>
      <c r="CE42" s="388">
        <v>116</v>
      </c>
      <c r="CF42" s="388">
        <v>178</v>
      </c>
      <c r="CG42" s="389">
        <v>0.68888888888888888</v>
      </c>
      <c r="CH42" s="389">
        <v>0.82857142857142863</v>
      </c>
      <c r="CI42" s="389">
        <v>0.77391304347826084</v>
      </c>
      <c r="CJ42" s="390"/>
      <c r="CK42" s="390"/>
      <c r="CL42" s="390"/>
      <c r="CM42" s="390"/>
      <c r="CN42" s="390"/>
      <c r="CO42" s="390"/>
      <c r="CP42" s="390"/>
      <c r="CQ42" s="390"/>
      <c r="CR42" s="390"/>
      <c r="CS42" s="390"/>
      <c r="CT42" s="390"/>
      <c r="CU42" s="390"/>
      <c r="CV42" s="390"/>
      <c r="CW42" s="390"/>
      <c r="CX42" s="390"/>
      <c r="CY42" s="390"/>
      <c r="CZ42" s="390"/>
      <c r="DA42" s="390"/>
      <c r="DB42" s="390"/>
      <c r="DC42" s="390"/>
      <c r="DD42" s="390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H42"/>
      <c r="EI42"/>
      <c r="EJ42"/>
    </row>
    <row r="43" spans="1:140" s="362" customFormat="1" ht="36" customHeight="1" x14ac:dyDescent="0.25">
      <c r="A43" s="423">
        <v>37</v>
      </c>
      <c r="B43" s="490"/>
      <c r="C43" s="424" t="s">
        <v>344</v>
      </c>
      <c r="D43" s="392">
        <v>16161</v>
      </c>
      <c r="E43" s="392">
        <v>5316</v>
      </c>
      <c r="F43" s="392">
        <v>21477</v>
      </c>
      <c r="G43" s="392">
        <v>12152</v>
      </c>
      <c r="H43" s="392">
        <v>3925</v>
      </c>
      <c r="I43" s="392">
        <v>16077</v>
      </c>
      <c r="J43" s="392">
        <v>10621</v>
      </c>
      <c r="K43" s="392">
        <v>3478</v>
      </c>
      <c r="L43" s="392">
        <v>14099</v>
      </c>
      <c r="M43" s="389">
        <v>0.87401250822909804</v>
      </c>
      <c r="N43" s="389">
        <v>0.88611464968152864</v>
      </c>
      <c r="O43" s="389">
        <v>0.87696709585121602</v>
      </c>
      <c r="P43" s="388">
        <v>10621</v>
      </c>
      <c r="Q43" s="388">
        <v>3478</v>
      </c>
      <c r="R43" s="388">
        <v>14099</v>
      </c>
      <c r="S43" s="388">
        <v>10567</v>
      </c>
      <c r="T43" s="388">
        <v>3469</v>
      </c>
      <c r="U43" s="388">
        <v>14036</v>
      </c>
      <c r="V43" s="389">
        <v>0.99491573298182845</v>
      </c>
      <c r="W43" s="389">
        <v>0.99741230592294428</v>
      </c>
      <c r="X43" s="389">
        <v>0.9955315979856727</v>
      </c>
      <c r="Y43" s="391">
        <v>7</v>
      </c>
      <c r="Z43" s="391">
        <v>1</v>
      </c>
      <c r="AA43" s="391">
        <v>8</v>
      </c>
      <c r="AB43" s="391">
        <v>6</v>
      </c>
      <c r="AC43" s="391">
        <v>1</v>
      </c>
      <c r="AD43" s="391">
        <v>7</v>
      </c>
      <c r="AE43" s="391">
        <v>6</v>
      </c>
      <c r="AF43" s="391">
        <v>1</v>
      </c>
      <c r="AG43" s="391">
        <v>7</v>
      </c>
      <c r="AH43" s="389">
        <v>1</v>
      </c>
      <c r="AI43" s="389">
        <v>1</v>
      </c>
      <c r="AJ43" s="389">
        <v>1</v>
      </c>
      <c r="AK43" s="391">
        <v>6</v>
      </c>
      <c r="AL43" s="391">
        <v>1</v>
      </c>
      <c r="AM43" s="391">
        <v>7</v>
      </c>
      <c r="AN43" s="391">
        <v>6</v>
      </c>
      <c r="AO43" s="391">
        <v>1</v>
      </c>
      <c r="AP43" s="391">
        <v>7</v>
      </c>
      <c r="AQ43" s="389">
        <v>1</v>
      </c>
      <c r="AR43" s="389">
        <v>1</v>
      </c>
      <c r="AS43" s="389">
        <v>1</v>
      </c>
      <c r="AT43" s="391">
        <v>12531</v>
      </c>
      <c r="AU43" s="391">
        <v>3994</v>
      </c>
      <c r="AV43" s="391">
        <v>16525</v>
      </c>
      <c r="AW43" s="391">
        <v>9413</v>
      </c>
      <c r="AX43" s="391">
        <v>2957</v>
      </c>
      <c r="AY43" s="391">
        <v>12370</v>
      </c>
      <c r="AZ43" s="391">
        <v>8240</v>
      </c>
      <c r="BA43" s="391">
        <v>2631</v>
      </c>
      <c r="BB43" s="391">
        <v>10871</v>
      </c>
      <c r="BC43" s="389">
        <v>0.87538510570487627</v>
      </c>
      <c r="BD43" s="389">
        <v>0.88975312817044305</v>
      </c>
      <c r="BE43" s="389">
        <v>0.87881972514147133</v>
      </c>
      <c r="BF43" s="391">
        <v>8240</v>
      </c>
      <c r="BG43" s="391">
        <v>2631</v>
      </c>
      <c r="BH43" s="391">
        <v>10871</v>
      </c>
      <c r="BI43" s="391">
        <v>8197</v>
      </c>
      <c r="BJ43" s="391">
        <v>2623</v>
      </c>
      <c r="BK43" s="391">
        <v>10820</v>
      </c>
      <c r="BL43" s="389">
        <v>0.99478155339805829</v>
      </c>
      <c r="BM43" s="389">
        <v>0.99695933105283163</v>
      </c>
      <c r="BN43" s="389">
        <v>0.99530861926225733</v>
      </c>
      <c r="BO43" s="391">
        <v>3623</v>
      </c>
      <c r="BP43" s="391">
        <v>1321</v>
      </c>
      <c r="BQ43" s="391">
        <v>4944</v>
      </c>
      <c r="BR43" s="391">
        <v>2733</v>
      </c>
      <c r="BS43" s="391">
        <v>967</v>
      </c>
      <c r="BT43" s="391">
        <v>3700</v>
      </c>
      <c r="BU43" s="391">
        <v>2375</v>
      </c>
      <c r="BV43" s="391">
        <v>846</v>
      </c>
      <c r="BW43" s="391">
        <v>3221</v>
      </c>
      <c r="BX43" s="389">
        <v>0.8690084156604464</v>
      </c>
      <c r="BY43" s="389">
        <v>0.87487073422957606</v>
      </c>
      <c r="BZ43" s="389">
        <v>0.87054054054054053</v>
      </c>
      <c r="CA43" s="391">
        <v>2375</v>
      </c>
      <c r="CB43" s="391">
        <v>846</v>
      </c>
      <c r="CC43" s="391">
        <v>3221</v>
      </c>
      <c r="CD43" s="391">
        <v>2364</v>
      </c>
      <c r="CE43" s="391">
        <v>845</v>
      </c>
      <c r="CF43" s="391">
        <v>3209</v>
      </c>
      <c r="CG43" s="389">
        <v>0.99536842105263157</v>
      </c>
      <c r="CH43" s="389">
        <v>0.99881796690307334</v>
      </c>
      <c r="CI43" s="389">
        <v>0.99627444892890404</v>
      </c>
      <c r="CJ43" s="390"/>
      <c r="CK43" s="390"/>
      <c r="CL43" s="390"/>
      <c r="CM43" s="390"/>
      <c r="CN43" s="390"/>
      <c r="CO43" s="390"/>
      <c r="CP43" s="390"/>
      <c r="CQ43" s="390"/>
      <c r="CR43" s="390"/>
      <c r="CS43" s="390"/>
      <c r="CT43" s="390"/>
      <c r="CU43" s="390"/>
      <c r="CV43" s="390"/>
      <c r="CW43" s="390"/>
      <c r="CX43" s="390"/>
      <c r="CY43" s="390"/>
      <c r="CZ43" s="390"/>
      <c r="DA43" s="390"/>
      <c r="DB43" s="390"/>
      <c r="DC43" s="390"/>
      <c r="DD43" s="390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H43"/>
      <c r="EI43"/>
      <c r="EJ43"/>
    </row>
    <row r="44" spans="1:140" s="362" customFormat="1" ht="52.5" customHeight="1" x14ac:dyDescent="0.25">
      <c r="A44" s="423">
        <v>38</v>
      </c>
      <c r="B44" s="491"/>
      <c r="C44" s="424" t="s">
        <v>132</v>
      </c>
      <c r="D44" s="392">
        <v>911</v>
      </c>
      <c r="E44" s="392">
        <v>707</v>
      </c>
      <c r="F44" s="392">
        <v>1618</v>
      </c>
      <c r="G44" s="392">
        <v>911</v>
      </c>
      <c r="H44" s="392">
        <v>707</v>
      </c>
      <c r="I44" s="392">
        <v>1618</v>
      </c>
      <c r="J44" s="392">
        <v>904</v>
      </c>
      <c r="K44" s="392">
        <v>705</v>
      </c>
      <c r="L44" s="392">
        <v>1609</v>
      </c>
      <c r="M44" s="389">
        <v>0.99231613611416025</v>
      </c>
      <c r="N44" s="389">
        <v>0.99717114568599718</v>
      </c>
      <c r="O44" s="389">
        <v>0.99443757725587145</v>
      </c>
      <c r="P44" s="388">
        <v>904</v>
      </c>
      <c r="Q44" s="388">
        <v>705</v>
      </c>
      <c r="R44" s="388">
        <v>1609</v>
      </c>
      <c r="S44" s="388">
        <v>876</v>
      </c>
      <c r="T44" s="388">
        <v>690</v>
      </c>
      <c r="U44" s="388">
        <v>1566</v>
      </c>
      <c r="V44" s="389">
        <v>0.96902654867256632</v>
      </c>
      <c r="W44" s="389">
        <v>0.97872340425531912</v>
      </c>
      <c r="X44" s="389">
        <v>0.97327532628962088</v>
      </c>
      <c r="Y44" s="393"/>
      <c r="Z44" s="393"/>
      <c r="AA44" s="393"/>
      <c r="AB44" s="393"/>
      <c r="AC44" s="393"/>
      <c r="AD44" s="393"/>
      <c r="AE44" s="393"/>
      <c r="AF44" s="393"/>
      <c r="AG44" s="393"/>
      <c r="AH44" s="390"/>
      <c r="AI44" s="390"/>
      <c r="AJ44" s="390"/>
      <c r="AK44" s="390"/>
      <c r="AL44" s="390"/>
      <c r="AM44" s="390"/>
      <c r="AN44" s="390"/>
      <c r="AO44" s="390"/>
      <c r="AP44" s="390"/>
      <c r="AQ44" s="390"/>
      <c r="AR44" s="390"/>
      <c r="AS44" s="390"/>
      <c r="AT44" s="390"/>
      <c r="AU44" s="390"/>
      <c r="AV44" s="390"/>
      <c r="AW44" s="390"/>
      <c r="AX44" s="390"/>
      <c r="AY44" s="390"/>
      <c r="AZ44" s="390"/>
      <c r="BA44" s="390"/>
      <c r="BB44" s="390"/>
      <c r="BC44" s="390"/>
      <c r="BD44" s="390"/>
      <c r="BE44" s="390"/>
      <c r="BF44" s="390"/>
      <c r="BG44" s="390"/>
      <c r="BH44" s="390"/>
      <c r="BI44" s="390"/>
      <c r="BJ44" s="390"/>
      <c r="BK44" s="390"/>
      <c r="BL44" s="390"/>
      <c r="BM44" s="390"/>
      <c r="BN44" s="390"/>
      <c r="BO44" s="392">
        <v>911</v>
      </c>
      <c r="BP44" s="392">
        <v>707</v>
      </c>
      <c r="BQ44" s="392">
        <v>1618</v>
      </c>
      <c r="BR44" s="392">
        <v>911</v>
      </c>
      <c r="BS44" s="392">
        <v>707</v>
      </c>
      <c r="BT44" s="392">
        <v>1618</v>
      </c>
      <c r="BU44" s="392">
        <v>904</v>
      </c>
      <c r="BV44" s="392">
        <v>705</v>
      </c>
      <c r="BW44" s="392">
        <v>1609</v>
      </c>
      <c r="BX44" s="389">
        <v>0.99231613611416025</v>
      </c>
      <c r="BY44" s="389">
        <v>0.99717114568599718</v>
      </c>
      <c r="BZ44" s="389">
        <v>0.99443757725587145</v>
      </c>
      <c r="CA44" s="388">
        <v>904</v>
      </c>
      <c r="CB44" s="388">
        <v>705</v>
      </c>
      <c r="CC44" s="388">
        <v>1609</v>
      </c>
      <c r="CD44" s="388">
        <v>876</v>
      </c>
      <c r="CE44" s="388">
        <v>690</v>
      </c>
      <c r="CF44" s="388">
        <v>1566</v>
      </c>
      <c r="CG44" s="389">
        <v>0.96902654867256632</v>
      </c>
      <c r="CH44" s="389">
        <v>0.97872340425531912</v>
      </c>
      <c r="CI44" s="389">
        <v>0.97327532628962088</v>
      </c>
      <c r="CJ44" s="390"/>
      <c r="CK44" s="390"/>
      <c r="CL44" s="390"/>
      <c r="CM44" s="390"/>
      <c r="CN44" s="390"/>
      <c r="CO44" s="390"/>
      <c r="CP44" s="390"/>
      <c r="CQ44" s="390"/>
      <c r="CR44" s="390"/>
      <c r="CS44" s="390"/>
      <c r="CT44" s="390"/>
      <c r="CU44" s="390"/>
      <c r="CV44" s="390"/>
      <c r="CW44" s="390"/>
      <c r="CX44" s="390"/>
      <c r="CY44" s="390"/>
      <c r="CZ44" s="390"/>
      <c r="DA44" s="390"/>
      <c r="DB44" s="390"/>
      <c r="DC44" s="390"/>
      <c r="DD44" s="390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H44"/>
      <c r="EI44"/>
      <c r="EJ44"/>
    </row>
    <row r="45" spans="1:140" s="378" customFormat="1" ht="37.5" customHeight="1" x14ac:dyDescent="0.25">
      <c r="A45" s="423">
        <v>39</v>
      </c>
      <c r="B45" s="492" t="s">
        <v>385</v>
      </c>
      <c r="C45" s="424" t="s">
        <v>169</v>
      </c>
      <c r="D45" s="392">
        <v>66274</v>
      </c>
      <c r="E45" s="392">
        <v>63504</v>
      </c>
      <c r="F45" s="392">
        <v>129778</v>
      </c>
      <c r="G45" s="392">
        <v>65098</v>
      </c>
      <c r="H45" s="392">
        <v>62797</v>
      </c>
      <c r="I45" s="392">
        <v>127895</v>
      </c>
      <c r="J45" s="392">
        <v>46302</v>
      </c>
      <c r="K45" s="392">
        <v>52790</v>
      </c>
      <c r="L45" s="392">
        <v>99092</v>
      </c>
      <c r="M45" s="389">
        <v>0.71126609112415129</v>
      </c>
      <c r="N45" s="389">
        <v>0.84064525375416022</v>
      </c>
      <c r="O45" s="389">
        <v>0.77479182141600533</v>
      </c>
      <c r="P45" s="392">
        <v>46302</v>
      </c>
      <c r="Q45" s="392">
        <v>52790</v>
      </c>
      <c r="R45" s="392">
        <v>99092</v>
      </c>
      <c r="S45" s="392">
        <v>12146</v>
      </c>
      <c r="T45" s="392">
        <v>19200</v>
      </c>
      <c r="U45" s="392">
        <v>31346</v>
      </c>
      <c r="V45" s="389">
        <v>0.26232128201805538</v>
      </c>
      <c r="W45" s="389">
        <v>0.36370524720591019</v>
      </c>
      <c r="X45" s="389">
        <v>0.31633229725911277</v>
      </c>
      <c r="Y45" s="392">
        <v>34047</v>
      </c>
      <c r="Z45" s="392">
        <v>39436</v>
      </c>
      <c r="AA45" s="392">
        <v>73483</v>
      </c>
      <c r="AB45" s="392">
        <v>33469</v>
      </c>
      <c r="AC45" s="392">
        <v>39041</v>
      </c>
      <c r="AD45" s="392">
        <v>72510</v>
      </c>
      <c r="AE45" s="392">
        <v>23031</v>
      </c>
      <c r="AF45" s="392">
        <v>32251</v>
      </c>
      <c r="AG45" s="392">
        <v>55282</v>
      </c>
      <c r="AH45" s="389">
        <v>0.68812931369326835</v>
      </c>
      <c r="AI45" s="389">
        <v>0.8260802745831306</v>
      </c>
      <c r="AJ45" s="389">
        <v>0.76240518549165637</v>
      </c>
      <c r="AK45" s="392">
        <v>23031</v>
      </c>
      <c r="AL45" s="392">
        <v>32251</v>
      </c>
      <c r="AM45" s="392">
        <v>55282</v>
      </c>
      <c r="AN45" s="392">
        <v>4944</v>
      </c>
      <c r="AO45" s="392">
        <v>10005</v>
      </c>
      <c r="AP45" s="392">
        <v>14949</v>
      </c>
      <c r="AQ45" s="389">
        <v>0.21466718770353002</v>
      </c>
      <c r="AR45" s="389">
        <v>0.31022293882360236</v>
      </c>
      <c r="AS45" s="389">
        <v>0.27041351615354003</v>
      </c>
      <c r="AT45" s="392">
        <v>12597</v>
      </c>
      <c r="AU45" s="392">
        <v>10926</v>
      </c>
      <c r="AV45" s="392">
        <v>23523</v>
      </c>
      <c r="AW45" s="392">
        <v>12241</v>
      </c>
      <c r="AX45" s="392">
        <v>10753</v>
      </c>
      <c r="AY45" s="392">
        <v>22994</v>
      </c>
      <c r="AZ45" s="392">
        <v>8210</v>
      </c>
      <c r="BA45" s="392">
        <v>9046</v>
      </c>
      <c r="BB45" s="392">
        <v>17256</v>
      </c>
      <c r="BC45" s="389">
        <v>0.67069683849358708</v>
      </c>
      <c r="BD45" s="389">
        <v>0.84125360364549429</v>
      </c>
      <c r="BE45" s="389">
        <v>0.75045664086283381</v>
      </c>
      <c r="BF45" s="392">
        <v>8210</v>
      </c>
      <c r="BG45" s="392">
        <v>9046</v>
      </c>
      <c r="BH45" s="392">
        <v>17256</v>
      </c>
      <c r="BI45" s="392">
        <v>1841</v>
      </c>
      <c r="BJ45" s="392">
        <v>3191</v>
      </c>
      <c r="BK45" s="392">
        <v>5032</v>
      </c>
      <c r="BL45" s="389">
        <v>0.22423873325213153</v>
      </c>
      <c r="BM45" s="389">
        <v>0.35275259783329649</v>
      </c>
      <c r="BN45" s="389">
        <v>0.29160871580899395</v>
      </c>
      <c r="BO45" s="392">
        <v>19630</v>
      </c>
      <c r="BP45" s="392">
        <v>13142</v>
      </c>
      <c r="BQ45" s="392">
        <v>32772</v>
      </c>
      <c r="BR45" s="392">
        <v>19388</v>
      </c>
      <c r="BS45" s="392">
        <v>13003</v>
      </c>
      <c r="BT45" s="392">
        <v>32391</v>
      </c>
      <c r="BU45" s="392">
        <v>15061</v>
      </c>
      <c r="BV45" s="392">
        <v>11493</v>
      </c>
      <c r="BW45" s="392">
        <v>26554</v>
      </c>
      <c r="BX45" s="389">
        <v>0.77682071384361462</v>
      </c>
      <c r="BY45" s="389">
        <v>0.88387295239560104</v>
      </c>
      <c r="BZ45" s="389">
        <v>0.81979562224074587</v>
      </c>
      <c r="CA45" s="392">
        <v>15061</v>
      </c>
      <c r="CB45" s="392">
        <v>11493</v>
      </c>
      <c r="CC45" s="392">
        <v>26554</v>
      </c>
      <c r="CD45" s="392">
        <v>5361</v>
      </c>
      <c r="CE45" s="392">
        <v>6004</v>
      </c>
      <c r="CF45" s="392">
        <v>11365</v>
      </c>
      <c r="CG45" s="389">
        <v>0.35595245999601621</v>
      </c>
      <c r="CH45" s="389">
        <v>0.52240494213869315</v>
      </c>
      <c r="CI45" s="389">
        <v>0.42799578217970929</v>
      </c>
      <c r="CJ45" s="390"/>
      <c r="CK45" s="390"/>
      <c r="CL45" s="390"/>
      <c r="CM45" s="390"/>
      <c r="CN45" s="390"/>
      <c r="CO45" s="390"/>
      <c r="CP45" s="390"/>
      <c r="CQ45" s="390"/>
      <c r="CR45" s="390"/>
      <c r="CS45" s="390"/>
      <c r="CT45" s="390"/>
      <c r="CU45" s="390"/>
      <c r="CV45" s="390"/>
      <c r="CW45" s="390"/>
      <c r="CX45" s="390"/>
      <c r="CY45" s="390"/>
      <c r="CZ45" s="390"/>
      <c r="DA45" s="390"/>
      <c r="DB45" s="390"/>
      <c r="DC45" s="390"/>
      <c r="DD45" s="390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 s="362"/>
      <c r="EG45" s="362"/>
      <c r="EH45"/>
      <c r="EI45"/>
      <c r="EJ45"/>
    </row>
    <row r="46" spans="1:140" s="362" customFormat="1" ht="31.5" x14ac:dyDescent="0.25">
      <c r="A46" s="423">
        <v>40</v>
      </c>
      <c r="B46" s="493"/>
      <c r="C46" s="424" t="s">
        <v>214</v>
      </c>
      <c r="D46" s="392">
        <v>632</v>
      </c>
      <c r="E46" s="392">
        <v>70</v>
      </c>
      <c r="F46" s="392">
        <v>702</v>
      </c>
      <c r="G46" s="392">
        <v>632</v>
      </c>
      <c r="H46" s="392">
        <v>70</v>
      </c>
      <c r="I46" s="392">
        <v>702</v>
      </c>
      <c r="J46" s="392">
        <v>565</v>
      </c>
      <c r="K46" s="392">
        <v>54</v>
      </c>
      <c r="L46" s="392">
        <v>619</v>
      </c>
      <c r="M46" s="389">
        <v>0.89398734177215189</v>
      </c>
      <c r="N46" s="389">
        <v>0.77142857142857146</v>
      </c>
      <c r="O46" s="389">
        <v>0.88176638176638178</v>
      </c>
      <c r="P46" s="388">
        <v>565</v>
      </c>
      <c r="Q46" s="388">
        <v>54</v>
      </c>
      <c r="R46" s="388">
        <v>619</v>
      </c>
      <c r="S46" s="388">
        <v>166</v>
      </c>
      <c r="T46" s="388">
        <v>16</v>
      </c>
      <c r="U46" s="388">
        <v>182</v>
      </c>
      <c r="V46" s="389">
        <v>0.2938053097345133</v>
      </c>
      <c r="W46" s="389">
        <v>0.29629629629629628</v>
      </c>
      <c r="X46" s="389">
        <v>0.2940226171243942</v>
      </c>
      <c r="Y46" s="391">
        <v>12</v>
      </c>
      <c r="Z46" s="391">
        <v>5</v>
      </c>
      <c r="AA46" s="391">
        <v>17</v>
      </c>
      <c r="AB46" s="391">
        <v>12</v>
      </c>
      <c r="AC46" s="391">
        <v>5</v>
      </c>
      <c r="AD46" s="391">
        <v>17</v>
      </c>
      <c r="AE46" s="391">
        <v>11</v>
      </c>
      <c r="AF46" s="391">
        <v>3</v>
      </c>
      <c r="AG46" s="391">
        <v>14</v>
      </c>
      <c r="AH46" s="389">
        <v>0.91666666666666663</v>
      </c>
      <c r="AI46" s="389">
        <v>0.6</v>
      </c>
      <c r="AJ46" s="389">
        <v>0.82352941176470584</v>
      </c>
      <c r="AK46" s="391">
        <v>11</v>
      </c>
      <c r="AL46" s="391">
        <v>3</v>
      </c>
      <c r="AM46" s="391">
        <v>14</v>
      </c>
      <c r="AN46" s="391">
        <v>0</v>
      </c>
      <c r="AO46" s="391">
        <v>0</v>
      </c>
      <c r="AP46" s="391">
        <v>0</v>
      </c>
      <c r="AQ46" s="389">
        <v>0</v>
      </c>
      <c r="AR46" s="389">
        <v>0</v>
      </c>
      <c r="AS46" s="389">
        <v>0</v>
      </c>
      <c r="AT46" s="391">
        <v>567</v>
      </c>
      <c r="AU46" s="391">
        <v>56</v>
      </c>
      <c r="AV46" s="391">
        <v>623</v>
      </c>
      <c r="AW46" s="391">
        <v>567</v>
      </c>
      <c r="AX46" s="391">
        <v>56</v>
      </c>
      <c r="AY46" s="391">
        <v>623</v>
      </c>
      <c r="AZ46" s="391">
        <v>511</v>
      </c>
      <c r="BA46" s="391">
        <v>43</v>
      </c>
      <c r="BB46" s="391">
        <v>554</v>
      </c>
      <c r="BC46" s="389">
        <v>0.90123456790123457</v>
      </c>
      <c r="BD46" s="389">
        <v>0.7678571428571429</v>
      </c>
      <c r="BE46" s="389">
        <v>0.8892455858747994</v>
      </c>
      <c r="BF46" s="391">
        <v>511</v>
      </c>
      <c r="BG46" s="391">
        <v>43</v>
      </c>
      <c r="BH46" s="391">
        <v>554</v>
      </c>
      <c r="BI46" s="391">
        <v>163</v>
      </c>
      <c r="BJ46" s="391">
        <v>16</v>
      </c>
      <c r="BK46" s="391">
        <v>179</v>
      </c>
      <c r="BL46" s="389">
        <v>0.31898238747553814</v>
      </c>
      <c r="BM46" s="389">
        <v>0.37209302325581395</v>
      </c>
      <c r="BN46" s="389">
        <v>0.32310469314079421</v>
      </c>
      <c r="BO46" s="391">
        <v>53</v>
      </c>
      <c r="BP46" s="391">
        <v>9</v>
      </c>
      <c r="BQ46" s="391">
        <v>62</v>
      </c>
      <c r="BR46" s="391">
        <v>53</v>
      </c>
      <c r="BS46" s="391">
        <v>9</v>
      </c>
      <c r="BT46" s="391">
        <v>62</v>
      </c>
      <c r="BU46" s="391">
        <v>43</v>
      </c>
      <c r="BV46" s="391">
        <v>8</v>
      </c>
      <c r="BW46" s="391">
        <v>51</v>
      </c>
      <c r="BX46" s="389">
        <v>0.81132075471698117</v>
      </c>
      <c r="BY46" s="389">
        <v>0.88888888888888884</v>
      </c>
      <c r="BZ46" s="389">
        <v>0.82258064516129037</v>
      </c>
      <c r="CA46" s="391">
        <v>43</v>
      </c>
      <c r="CB46" s="391">
        <v>8</v>
      </c>
      <c r="CC46" s="391">
        <v>51</v>
      </c>
      <c r="CD46" s="391">
        <v>3</v>
      </c>
      <c r="CE46" s="391">
        <v>0</v>
      </c>
      <c r="CF46" s="391">
        <v>3</v>
      </c>
      <c r="CG46" s="389">
        <v>6.9767441860465115E-2</v>
      </c>
      <c r="CH46" s="389">
        <v>0</v>
      </c>
      <c r="CI46" s="389">
        <v>5.8823529411764705E-2</v>
      </c>
      <c r="CJ46" s="390"/>
      <c r="CK46" s="390"/>
      <c r="CL46" s="390"/>
      <c r="CM46" s="390"/>
      <c r="CN46" s="390"/>
      <c r="CO46" s="390"/>
      <c r="CP46" s="390"/>
      <c r="CQ46" s="390"/>
      <c r="CR46" s="390"/>
      <c r="CS46" s="390"/>
      <c r="CT46" s="390"/>
      <c r="CU46" s="390"/>
      <c r="CV46" s="390"/>
      <c r="CW46" s="390"/>
      <c r="CX46" s="390"/>
      <c r="CY46" s="390"/>
      <c r="CZ46" s="390"/>
      <c r="DA46" s="390"/>
      <c r="DB46" s="390"/>
      <c r="DC46" s="390"/>
      <c r="DD46" s="390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H46"/>
      <c r="EI46"/>
      <c r="EJ46"/>
    </row>
    <row r="47" spans="1:140" s="362" customFormat="1" ht="38.25" customHeight="1" x14ac:dyDescent="0.25">
      <c r="A47" s="423">
        <v>41</v>
      </c>
      <c r="B47" s="489" t="s">
        <v>386</v>
      </c>
      <c r="C47" s="424" t="s">
        <v>314</v>
      </c>
      <c r="D47" s="392">
        <v>500331</v>
      </c>
      <c r="E47" s="392">
        <v>627471</v>
      </c>
      <c r="F47" s="392">
        <v>1127802</v>
      </c>
      <c r="G47" s="392">
        <v>488907</v>
      </c>
      <c r="H47" s="392">
        <v>609868</v>
      </c>
      <c r="I47" s="392">
        <v>1098775</v>
      </c>
      <c r="J47" s="392">
        <v>432644</v>
      </c>
      <c r="K47" s="392">
        <v>517291</v>
      </c>
      <c r="L47" s="392">
        <v>949935</v>
      </c>
      <c r="M47" s="389">
        <v>0.88492085406836063</v>
      </c>
      <c r="N47" s="389">
        <v>0.84820157804639695</v>
      </c>
      <c r="O47" s="389">
        <v>0.86454005597142269</v>
      </c>
      <c r="P47" s="388">
        <v>432644</v>
      </c>
      <c r="Q47" s="388">
        <v>517291</v>
      </c>
      <c r="R47" s="388">
        <v>949935</v>
      </c>
      <c r="S47" s="388">
        <v>64050</v>
      </c>
      <c r="T47" s="388">
        <v>66137</v>
      </c>
      <c r="U47" s="388">
        <v>130187</v>
      </c>
      <c r="V47" s="389">
        <v>0.14804319486691137</v>
      </c>
      <c r="W47" s="389">
        <v>0.12785260134044474</v>
      </c>
      <c r="X47" s="389">
        <v>0.13704832435903508</v>
      </c>
      <c r="Y47" s="393"/>
      <c r="Z47" s="393"/>
      <c r="AA47" s="393"/>
      <c r="AB47" s="393"/>
      <c r="AC47" s="393"/>
      <c r="AD47" s="393"/>
      <c r="AE47" s="393"/>
      <c r="AF47" s="393"/>
      <c r="AG47" s="393"/>
      <c r="AH47" s="390"/>
      <c r="AI47" s="390"/>
      <c r="AJ47" s="390"/>
      <c r="AK47" s="390"/>
      <c r="AL47" s="390"/>
      <c r="AM47" s="390"/>
      <c r="AN47" s="390"/>
      <c r="AO47" s="390"/>
      <c r="AP47" s="390"/>
      <c r="AQ47" s="390"/>
      <c r="AR47" s="390"/>
      <c r="AS47" s="390"/>
      <c r="AT47" s="390"/>
      <c r="AU47" s="390"/>
      <c r="AV47" s="390"/>
      <c r="AW47" s="390"/>
      <c r="AX47" s="390"/>
      <c r="AY47" s="390"/>
      <c r="AZ47" s="390"/>
      <c r="BA47" s="390"/>
      <c r="BB47" s="390"/>
      <c r="BC47" s="390"/>
      <c r="BD47" s="390"/>
      <c r="BE47" s="390"/>
      <c r="BF47" s="390"/>
      <c r="BG47" s="390"/>
      <c r="BH47" s="390"/>
      <c r="BI47" s="390"/>
      <c r="BJ47" s="390"/>
      <c r="BK47" s="390"/>
      <c r="BL47" s="390"/>
      <c r="BM47" s="390"/>
      <c r="BN47" s="390"/>
      <c r="BO47" s="390"/>
      <c r="BP47" s="390"/>
      <c r="BQ47" s="390"/>
      <c r="BR47" s="390"/>
      <c r="BS47" s="390"/>
      <c r="BT47" s="390"/>
      <c r="BU47" s="390"/>
      <c r="BV47" s="390"/>
      <c r="BW47" s="390"/>
      <c r="BX47" s="390"/>
      <c r="BY47" s="390"/>
      <c r="BZ47" s="390"/>
      <c r="CA47" s="390"/>
      <c r="CB47" s="390"/>
      <c r="CC47" s="390"/>
      <c r="CD47" s="390"/>
      <c r="CE47" s="390"/>
      <c r="CF47" s="390"/>
      <c r="CG47" s="390"/>
      <c r="CH47" s="390"/>
      <c r="CI47" s="390"/>
      <c r="CJ47" s="390"/>
      <c r="CK47" s="390"/>
      <c r="CL47" s="390"/>
      <c r="CM47" s="390"/>
      <c r="CN47" s="390"/>
      <c r="CO47" s="390"/>
      <c r="CP47" s="390"/>
      <c r="CQ47" s="390"/>
      <c r="CR47" s="390"/>
      <c r="CS47" s="390"/>
      <c r="CT47" s="390"/>
      <c r="CU47" s="390"/>
      <c r="CV47" s="390"/>
      <c r="CW47" s="390"/>
      <c r="CX47" s="390"/>
      <c r="CY47" s="390"/>
      <c r="CZ47" s="390"/>
      <c r="DA47" s="390"/>
      <c r="DB47" s="390"/>
      <c r="DC47" s="390"/>
      <c r="DD47" s="390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H47"/>
      <c r="EI47"/>
      <c r="EJ47"/>
    </row>
    <row r="48" spans="1:140" s="362" customFormat="1" ht="33" customHeight="1" x14ac:dyDescent="0.25">
      <c r="A48" s="423">
        <v>42</v>
      </c>
      <c r="B48" s="491"/>
      <c r="C48" s="424" t="s">
        <v>171</v>
      </c>
      <c r="D48" s="392">
        <v>26461</v>
      </c>
      <c r="E48" s="392">
        <v>49345</v>
      </c>
      <c r="F48" s="392">
        <v>75806</v>
      </c>
      <c r="G48" s="392">
        <v>23730</v>
      </c>
      <c r="H48" s="392">
        <v>44984</v>
      </c>
      <c r="I48" s="392">
        <v>68714</v>
      </c>
      <c r="J48" s="392">
        <v>21083</v>
      </c>
      <c r="K48" s="392">
        <v>38905</v>
      </c>
      <c r="L48" s="392">
        <v>59988</v>
      </c>
      <c r="M48" s="389">
        <v>0.88845343447113356</v>
      </c>
      <c r="N48" s="389">
        <v>0.86486306242219457</v>
      </c>
      <c r="O48" s="389">
        <v>0.87300986698489391</v>
      </c>
      <c r="P48" s="388">
        <v>21083</v>
      </c>
      <c r="Q48" s="388">
        <v>38905</v>
      </c>
      <c r="R48" s="388">
        <v>59988</v>
      </c>
      <c r="S48" s="388">
        <v>3382</v>
      </c>
      <c r="T48" s="388">
        <v>4827</v>
      </c>
      <c r="U48" s="388">
        <v>8209</v>
      </c>
      <c r="V48" s="389">
        <v>0.16041360337712848</v>
      </c>
      <c r="W48" s="389">
        <v>0.12407145611103972</v>
      </c>
      <c r="X48" s="389">
        <v>0.13684403547376142</v>
      </c>
      <c r="Y48" s="391">
        <v>8</v>
      </c>
      <c r="Z48" s="391">
        <v>3</v>
      </c>
      <c r="AA48" s="391">
        <v>11</v>
      </c>
      <c r="AB48" s="391">
        <v>8</v>
      </c>
      <c r="AC48" s="391">
        <v>3</v>
      </c>
      <c r="AD48" s="391">
        <v>11</v>
      </c>
      <c r="AE48" s="391">
        <v>8</v>
      </c>
      <c r="AF48" s="391">
        <v>3</v>
      </c>
      <c r="AG48" s="391">
        <v>11</v>
      </c>
      <c r="AH48" s="389">
        <v>1</v>
      </c>
      <c r="AI48" s="389">
        <v>1</v>
      </c>
      <c r="AJ48" s="389">
        <v>1</v>
      </c>
      <c r="AK48" s="391">
        <v>8</v>
      </c>
      <c r="AL48" s="391">
        <v>3</v>
      </c>
      <c r="AM48" s="391">
        <v>11</v>
      </c>
      <c r="AN48" s="391">
        <v>6</v>
      </c>
      <c r="AO48" s="391">
        <v>2</v>
      </c>
      <c r="AP48" s="391">
        <v>8</v>
      </c>
      <c r="AQ48" s="389">
        <v>0.75</v>
      </c>
      <c r="AR48" s="389">
        <v>0.66666666666666663</v>
      </c>
      <c r="AS48" s="389">
        <v>0.72727272727272729</v>
      </c>
      <c r="AT48" s="391">
        <v>26062</v>
      </c>
      <c r="AU48" s="391">
        <v>49160</v>
      </c>
      <c r="AV48" s="391">
        <v>75222</v>
      </c>
      <c r="AW48" s="391">
        <v>23423</v>
      </c>
      <c r="AX48" s="391">
        <v>44846</v>
      </c>
      <c r="AY48" s="391">
        <v>68269</v>
      </c>
      <c r="AZ48" s="391">
        <v>20800</v>
      </c>
      <c r="BA48" s="391">
        <v>38786</v>
      </c>
      <c r="BB48" s="391">
        <v>59586</v>
      </c>
      <c r="BC48" s="389">
        <v>0.88801605259787386</v>
      </c>
      <c r="BD48" s="389">
        <v>0.86487089149533958</v>
      </c>
      <c r="BE48" s="389">
        <v>0.87281196443480935</v>
      </c>
      <c r="BF48" s="391">
        <v>20800</v>
      </c>
      <c r="BG48" s="391">
        <v>38786</v>
      </c>
      <c r="BH48" s="391">
        <v>59586</v>
      </c>
      <c r="BI48" s="391">
        <v>3311</v>
      </c>
      <c r="BJ48" s="391">
        <v>4791</v>
      </c>
      <c r="BK48" s="391">
        <v>8102</v>
      </c>
      <c r="BL48" s="389">
        <v>0.1591826923076923</v>
      </c>
      <c r="BM48" s="389">
        <v>0.12352395194142217</v>
      </c>
      <c r="BN48" s="389">
        <v>0.13597153693820696</v>
      </c>
      <c r="BO48" s="391">
        <v>391</v>
      </c>
      <c r="BP48" s="391">
        <v>182</v>
      </c>
      <c r="BQ48" s="391">
        <v>573</v>
      </c>
      <c r="BR48" s="391">
        <v>299</v>
      </c>
      <c r="BS48" s="391">
        <v>135</v>
      </c>
      <c r="BT48" s="391">
        <v>434</v>
      </c>
      <c r="BU48" s="391">
        <v>275</v>
      </c>
      <c r="BV48" s="391">
        <v>116</v>
      </c>
      <c r="BW48" s="391">
        <v>391</v>
      </c>
      <c r="BX48" s="389">
        <v>0.91973244147157196</v>
      </c>
      <c r="BY48" s="389">
        <v>0.85925925925925928</v>
      </c>
      <c r="BZ48" s="389">
        <v>0.90092165898617516</v>
      </c>
      <c r="CA48" s="391">
        <v>275</v>
      </c>
      <c r="CB48" s="391">
        <v>116</v>
      </c>
      <c r="CC48" s="391">
        <v>391</v>
      </c>
      <c r="CD48" s="391">
        <v>65</v>
      </c>
      <c r="CE48" s="391">
        <v>34</v>
      </c>
      <c r="CF48" s="391">
        <v>99</v>
      </c>
      <c r="CG48" s="389">
        <v>0.23636363636363636</v>
      </c>
      <c r="CH48" s="389">
        <v>0.29310344827586204</v>
      </c>
      <c r="CI48" s="389">
        <v>0.25319693094629159</v>
      </c>
      <c r="CJ48" s="390"/>
      <c r="CK48" s="390"/>
      <c r="CL48" s="390"/>
      <c r="CM48" s="390"/>
      <c r="CN48" s="390"/>
      <c r="CO48" s="390"/>
      <c r="CP48" s="390"/>
      <c r="CQ48" s="390"/>
      <c r="CR48" s="390"/>
      <c r="CS48" s="390"/>
      <c r="CT48" s="390"/>
      <c r="CU48" s="390"/>
      <c r="CV48" s="390"/>
      <c r="CW48" s="390"/>
      <c r="CX48" s="390"/>
      <c r="CY48" s="390"/>
      <c r="CZ48" s="390"/>
      <c r="DA48" s="390"/>
      <c r="DB48" s="390"/>
      <c r="DC48" s="390"/>
      <c r="DD48" s="390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H48"/>
      <c r="EI48"/>
      <c r="EJ48"/>
    </row>
    <row r="49" spans="1:108" ht="33.75" customHeight="1" x14ac:dyDescent="0.25">
      <c r="A49" s="485" t="s">
        <v>3</v>
      </c>
      <c r="B49" s="485"/>
      <c r="C49" s="485"/>
      <c r="D49" s="417">
        <v>10212861</v>
      </c>
      <c r="E49" s="417">
        <v>9129154</v>
      </c>
      <c r="F49" s="417">
        <v>19342015</v>
      </c>
      <c r="G49" s="417">
        <v>9766870</v>
      </c>
      <c r="H49" s="417">
        <v>8829794</v>
      </c>
      <c r="I49" s="417">
        <v>18596664</v>
      </c>
      <c r="J49" s="417">
        <v>8178331</v>
      </c>
      <c r="K49" s="417">
        <v>7670644</v>
      </c>
      <c r="L49" s="417">
        <v>15848975</v>
      </c>
      <c r="M49" s="418">
        <v>0.83735434176967649</v>
      </c>
      <c r="N49" s="418">
        <v>0.86872287167741402</v>
      </c>
      <c r="O49" s="418">
        <v>0.85224828496121674</v>
      </c>
      <c r="P49" s="417">
        <v>8178331</v>
      </c>
      <c r="Q49" s="417">
        <v>7670644</v>
      </c>
      <c r="R49" s="417">
        <v>15848975</v>
      </c>
      <c r="S49" s="417">
        <v>4836891</v>
      </c>
      <c r="T49" s="417">
        <v>4928719</v>
      </c>
      <c r="U49" s="417">
        <v>9765610</v>
      </c>
      <c r="V49" s="418">
        <v>0.59142763969812417</v>
      </c>
      <c r="W49" s="418">
        <v>0.64254305114407606</v>
      </c>
      <c r="X49" s="418">
        <v>0.61616666062000858</v>
      </c>
      <c r="Y49" s="417">
        <v>3412491</v>
      </c>
      <c r="Z49" s="417">
        <v>3467051</v>
      </c>
      <c r="AA49" s="417">
        <v>6879542</v>
      </c>
      <c r="AB49" s="417">
        <v>3243442</v>
      </c>
      <c r="AC49" s="417">
        <v>3320141</v>
      </c>
      <c r="AD49" s="417">
        <v>6563583</v>
      </c>
      <c r="AE49" s="417">
        <v>2472407</v>
      </c>
      <c r="AF49" s="417">
        <v>2656858</v>
      </c>
      <c r="AG49" s="417">
        <v>5129265</v>
      </c>
      <c r="AH49" s="418">
        <v>0.76227877668230237</v>
      </c>
      <c r="AI49" s="418">
        <v>0.80022444829903305</v>
      </c>
      <c r="AJ49" s="418">
        <v>0.78147332028862893</v>
      </c>
      <c r="AK49" s="417">
        <v>2472407</v>
      </c>
      <c r="AL49" s="417">
        <v>2656858</v>
      </c>
      <c r="AM49" s="417">
        <v>5129265</v>
      </c>
      <c r="AN49" s="417">
        <v>1127445</v>
      </c>
      <c r="AO49" s="417">
        <v>1363149</v>
      </c>
      <c r="AP49" s="417">
        <v>2490594</v>
      </c>
      <c r="AQ49" s="418">
        <v>0.45601108555347075</v>
      </c>
      <c r="AR49" s="418">
        <v>0.51306806761972223</v>
      </c>
      <c r="AS49" s="418">
        <v>0.48556547575529829</v>
      </c>
      <c r="AT49" s="417">
        <v>1245528</v>
      </c>
      <c r="AU49" s="417">
        <v>1105170</v>
      </c>
      <c r="AV49" s="417">
        <v>2350698</v>
      </c>
      <c r="AW49" s="417">
        <v>1201525</v>
      </c>
      <c r="AX49" s="417">
        <v>1077911</v>
      </c>
      <c r="AY49" s="417">
        <v>2279436</v>
      </c>
      <c r="AZ49" s="417">
        <v>936861</v>
      </c>
      <c r="BA49" s="417">
        <v>929043</v>
      </c>
      <c r="BB49" s="417">
        <v>1865904</v>
      </c>
      <c r="BC49" s="418">
        <v>0.77972659744907513</v>
      </c>
      <c r="BD49" s="418">
        <v>0.86189212281904537</v>
      </c>
      <c r="BE49" s="418">
        <v>0.81858143856638221</v>
      </c>
      <c r="BF49" s="417">
        <v>936861</v>
      </c>
      <c r="BG49" s="417">
        <v>929043</v>
      </c>
      <c r="BH49" s="417">
        <v>1865904</v>
      </c>
      <c r="BI49" s="417">
        <v>528048</v>
      </c>
      <c r="BJ49" s="417">
        <v>603150</v>
      </c>
      <c r="BK49" s="417">
        <v>1131198</v>
      </c>
      <c r="BL49" s="418">
        <v>0.5636353738708304</v>
      </c>
      <c r="BM49" s="418">
        <v>0.64921645176810971</v>
      </c>
      <c r="BN49" s="418">
        <v>0.60624662362050785</v>
      </c>
      <c r="BO49" s="417">
        <v>3697020</v>
      </c>
      <c r="BP49" s="417">
        <v>2673048</v>
      </c>
      <c r="BQ49" s="417">
        <v>6370068</v>
      </c>
      <c r="BR49" s="417">
        <v>3503675</v>
      </c>
      <c r="BS49" s="417">
        <v>2588874</v>
      </c>
      <c r="BT49" s="417">
        <v>6092549</v>
      </c>
      <c r="BU49" s="417">
        <v>3097238</v>
      </c>
      <c r="BV49" s="417">
        <v>2412847</v>
      </c>
      <c r="BW49" s="417">
        <v>5510085</v>
      </c>
      <c r="BX49" s="418">
        <v>0.88399694606377588</v>
      </c>
      <c r="BY49" s="418">
        <v>0.93200634716096653</v>
      </c>
      <c r="BZ49" s="418">
        <v>0.90439732204041368</v>
      </c>
      <c r="CA49" s="417">
        <v>3097238</v>
      </c>
      <c r="CB49" s="417">
        <v>2412847</v>
      </c>
      <c r="CC49" s="417">
        <v>5510085</v>
      </c>
      <c r="CD49" s="417">
        <v>2262006</v>
      </c>
      <c r="CE49" s="417">
        <v>2018499</v>
      </c>
      <c r="CF49" s="417">
        <v>4280505</v>
      </c>
      <c r="CG49" s="418">
        <v>0.73033005535900053</v>
      </c>
      <c r="CH49" s="418">
        <v>0.83656319692048442</v>
      </c>
      <c r="CI49" s="418">
        <v>0.77684917746277959</v>
      </c>
      <c r="CJ49" s="417">
        <v>144359</v>
      </c>
      <c r="CK49" s="417">
        <v>141480</v>
      </c>
      <c r="CL49" s="417">
        <v>285839</v>
      </c>
      <c r="CM49" s="417">
        <v>140250</v>
      </c>
      <c r="CN49" s="417">
        <v>139092</v>
      </c>
      <c r="CO49" s="417">
        <v>279342</v>
      </c>
      <c r="CP49" s="417">
        <v>132419</v>
      </c>
      <c r="CQ49" s="417">
        <v>134708</v>
      </c>
      <c r="CR49" s="417">
        <v>267127</v>
      </c>
      <c r="CS49" s="418">
        <v>0.94416399286987518</v>
      </c>
      <c r="CT49" s="418">
        <v>0.96848129295717944</v>
      </c>
      <c r="CU49" s="418">
        <v>0.95627223976344411</v>
      </c>
      <c r="CV49" s="417">
        <v>132419</v>
      </c>
      <c r="CW49" s="417">
        <v>134708</v>
      </c>
      <c r="CX49" s="417">
        <v>267127</v>
      </c>
      <c r="CY49" s="417">
        <v>102821</v>
      </c>
      <c r="CZ49" s="417">
        <v>116995</v>
      </c>
      <c r="DA49" s="417">
        <v>219816</v>
      </c>
      <c r="DB49" s="418">
        <v>0.77648222687076629</v>
      </c>
      <c r="DC49" s="418">
        <v>0.86850818065742197</v>
      </c>
      <c r="DD49" s="418">
        <v>0.82288948702302656</v>
      </c>
    </row>
    <row r="50" spans="1:108" x14ac:dyDescent="0.25">
      <c r="D50" s="494" t="s">
        <v>278</v>
      </c>
      <c r="E50" s="494"/>
      <c r="F50" s="494"/>
      <c r="G50" s="494"/>
      <c r="H50" s="494"/>
      <c r="I50" s="494"/>
      <c r="J50" s="494"/>
      <c r="K50" s="494"/>
      <c r="L50" s="494"/>
      <c r="M50" s="494"/>
      <c r="N50" s="494"/>
      <c r="O50" s="494"/>
      <c r="P50" s="494" t="s">
        <v>278</v>
      </c>
      <c r="Q50" s="494"/>
      <c r="R50" s="494"/>
      <c r="S50" s="494"/>
      <c r="T50" s="494"/>
      <c r="U50" s="494"/>
      <c r="V50" s="494"/>
      <c r="W50" s="494"/>
      <c r="X50" s="494"/>
      <c r="Y50" s="494" t="s">
        <v>278</v>
      </c>
      <c r="Z50" s="494"/>
      <c r="AA50" s="494"/>
      <c r="AB50" s="494"/>
      <c r="AC50" s="494"/>
      <c r="AD50" s="494"/>
      <c r="AE50" s="494"/>
      <c r="AF50" s="494"/>
      <c r="AG50" s="494"/>
      <c r="AH50" s="494"/>
      <c r="AI50" s="494"/>
      <c r="AJ50" s="494"/>
      <c r="AK50" s="494" t="s">
        <v>278</v>
      </c>
      <c r="AL50" s="494"/>
      <c r="AM50" s="494"/>
      <c r="AN50" s="494"/>
      <c r="AO50" s="494"/>
      <c r="AP50" s="494"/>
      <c r="AQ50" s="494"/>
      <c r="AR50" s="494"/>
      <c r="AS50" s="494"/>
      <c r="AT50" s="494" t="s">
        <v>278</v>
      </c>
      <c r="AU50" s="494"/>
      <c r="AV50" s="494"/>
      <c r="AW50" s="494"/>
      <c r="AX50" s="494"/>
      <c r="AY50" s="494"/>
      <c r="AZ50" s="494"/>
      <c r="BA50" s="494"/>
      <c r="BB50" s="494"/>
      <c r="BC50" s="494"/>
      <c r="BD50" s="494"/>
      <c r="BE50" s="494"/>
      <c r="BF50" s="494" t="s">
        <v>278</v>
      </c>
      <c r="BG50" s="494"/>
      <c r="BH50" s="494"/>
      <c r="BI50" s="494"/>
      <c r="BJ50" s="494"/>
      <c r="BK50" s="494"/>
      <c r="BL50" s="494"/>
      <c r="BM50" s="494"/>
      <c r="BN50" s="494"/>
      <c r="BO50" s="494" t="s">
        <v>278</v>
      </c>
      <c r="BP50" s="494"/>
      <c r="BQ50" s="494"/>
      <c r="BR50" s="494"/>
      <c r="BS50" s="494"/>
      <c r="BT50" s="494"/>
      <c r="BU50" s="494"/>
      <c r="BV50" s="494"/>
      <c r="BW50" s="494"/>
      <c r="BX50" s="494"/>
      <c r="BY50" s="494"/>
      <c r="BZ50" s="494"/>
      <c r="CA50" s="494" t="s">
        <v>278</v>
      </c>
      <c r="CB50" s="494"/>
      <c r="CC50" s="494"/>
      <c r="CD50" s="494"/>
      <c r="CE50" s="494"/>
      <c r="CF50" s="494"/>
      <c r="CG50" s="494"/>
      <c r="CH50" s="494"/>
      <c r="CI50" s="494"/>
      <c r="CJ50" s="494" t="s">
        <v>278</v>
      </c>
      <c r="CK50" s="494"/>
      <c r="CL50" s="494"/>
      <c r="CM50" s="494"/>
      <c r="CN50" s="494"/>
      <c r="CO50" s="494"/>
      <c r="CP50" s="494"/>
      <c r="CQ50" s="494"/>
      <c r="CR50" s="494"/>
      <c r="CS50" s="494"/>
      <c r="CT50" s="494"/>
      <c r="CU50" s="494"/>
      <c r="CV50" s="494" t="s">
        <v>278</v>
      </c>
      <c r="CW50" s="494"/>
      <c r="CX50" s="494"/>
      <c r="CY50" s="494"/>
      <c r="CZ50" s="494"/>
      <c r="DA50" s="494"/>
      <c r="DB50" s="494"/>
      <c r="DC50" s="494"/>
      <c r="DD50" s="494"/>
    </row>
    <row r="51" spans="1:108" x14ac:dyDescent="0.25">
      <c r="D51" s="495" t="s">
        <v>248</v>
      </c>
      <c r="E51" s="495"/>
      <c r="F51" s="495"/>
      <c r="G51" s="495"/>
      <c r="H51" s="495"/>
      <c r="I51" s="495"/>
      <c r="J51" s="495"/>
      <c r="K51" s="495"/>
      <c r="L51" s="495"/>
      <c r="M51" s="495"/>
      <c r="N51" s="495"/>
      <c r="O51" s="495"/>
      <c r="P51" s="495" t="s">
        <v>248</v>
      </c>
      <c r="Q51" s="495"/>
      <c r="R51" s="495"/>
      <c r="S51" s="495"/>
      <c r="T51" s="495"/>
      <c r="U51" s="495"/>
      <c r="V51" s="495"/>
      <c r="W51" s="495"/>
      <c r="X51" s="495"/>
      <c r="Y51" s="495" t="s">
        <v>248</v>
      </c>
      <c r="Z51" s="495"/>
      <c r="AA51" s="495"/>
      <c r="AB51" s="495"/>
      <c r="AC51" s="495"/>
      <c r="AD51" s="495"/>
      <c r="AE51" s="495"/>
      <c r="AF51" s="495"/>
      <c r="AG51" s="495"/>
      <c r="AH51" s="495"/>
      <c r="AI51" s="495"/>
      <c r="AJ51" s="495"/>
      <c r="AK51" s="495" t="s">
        <v>248</v>
      </c>
      <c r="AL51" s="495"/>
      <c r="AM51" s="495"/>
      <c r="AN51" s="495"/>
      <c r="AO51" s="495"/>
      <c r="AP51" s="495"/>
      <c r="AQ51" s="495"/>
      <c r="AR51" s="495"/>
      <c r="AS51" s="495"/>
      <c r="AT51" s="495" t="s">
        <v>248</v>
      </c>
      <c r="AU51" s="495"/>
      <c r="AV51" s="495"/>
      <c r="AW51" s="495"/>
      <c r="AX51" s="495"/>
      <c r="AY51" s="495"/>
      <c r="AZ51" s="495"/>
      <c r="BA51" s="495"/>
      <c r="BB51" s="495"/>
      <c r="BC51" s="495"/>
      <c r="BD51" s="495"/>
      <c r="BE51" s="495"/>
      <c r="BF51" s="495" t="s">
        <v>248</v>
      </c>
      <c r="BG51" s="495"/>
      <c r="BH51" s="495"/>
      <c r="BI51" s="495"/>
      <c r="BJ51" s="495"/>
      <c r="BK51" s="495"/>
      <c r="BL51" s="495"/>
      <c r="BM51" s="495"/>
      <c r="BN51" s="495"/>
      <c r="BO51" s="495" t="s">
        <v>248</v>
      </c>
      <c r="BP51" s="495"/>
      <c r="BQ51" s="495"/>
      <c r="BR51" s="495"/>
      <c r="BS51" s="495"/>
      <c r="BT51" s="495"/>
      <c r="BU51" s="495"/>
      <c r="BV51" s="495"/>
      <c r="BW51" s="495"/>
      <c r="BX51" s="495"/>
      <c r="BY51" s="495"/>
      <c r="BZ51" s="495"/>
      <c r="CA51" s="495" t="s">
        <v>248</v>
      </c>
      <c r="CB51" s="495"/>
      <c r="CC51" s="495"/>
      <c r="CD51" s="495"/>
      <c r="CE51" s="495"/>
      <c r="CF51" s="495"/>
      <c r="CG51" s="495"/>
      <c r="CH51" s="495"/>
      <c r="CI51" s="495"/>
      <c r="CJ51" s="495" t="s">
        <v>248</v>
      </c>
      <c r="CK51" s="495"/>
      <c r="CL51" s="495"/>
      <c r="CM51" s="495"/>
      <c r="CN51" s="495"/>
      <c r="CO51" s="495"/>
      <c r="CP51" s="495"/>
      <c r="CQ51" s="495"/>
      <c r="CR51" s="495"/>
      <c r="CS51" s="495"/>
      <c r="CT51" s="495"/>
      <c r="CU51" s="495"/>
      <c r="CV51" s="495" t="s">
        <v>248</v>
      </c>
      <c r="CW51" s="495"/>
      <c r="CX51" s="495"/>
      <c r="CY51" s="495"/>
      <c r="CZ51" s="495"/>
      <c r="DA51" s="495"/>
      <c r="DB51" s="495"/>
      <c r="DC51" s="495"/>
      <c r="DD51" s="495"/>
    </row>
    <row r="52" spans="1:108" x14ac:dyDescent="0.25">
      <c r="D52" s="495" t="s">
        <v>228</v>
      </c>
      <c r="E52" s="495"/>
      <c r="F52" s="495"/>
      <c r="G52" s="495"/>
      <c r="H52" s="495"/>
      <c r="I52" s="495"/>
      <c r="J52" s="495"/>
      <c r="K52" s="495"/>
      <c r="L52" s="495"/>
      <c r="M52" s="495"/>
      <c r="N52" s="495"/>
      <c r="O52" s="495"/>
      <c r="P52" s="495" t="s">
        <v>228</v>
      </c>
      <c r="Q52" s="495"/>
      <c r="R52" s="495"/>
      <c r="S52" s="495"/>
      <c r="T52" s="495"/>
      <c r="U52" s="495"/>
      <c r="V52" s="495"/>
      <c r="W52" s="495"/>
      <c r="X52" s="495"/>
      <c r="Y52" s="495" t="s">
        <v>228</v>
      </c>
      <c r="Z52" s="495"/>
      <c r="AA52" s="495"/>
      <c r="AB52" s="495"/>
      <c r="AC52" s="495"/>
      <c r="AD52" s="495"/>
      <c r="AE52" s="495"/>
      <c r="AF52" s="495"/>
      <c r="AG52" s="495"/>
      <c r="AH52" s="495"/>
      <c r="AI52" s="495"/>
      <c r="AJ52" s="495"/>
      <c r="AK52" s="495" t="s">
        <v>228</v>
      </c>
      <c r="AL52" s="495"/>
      <c r="AM52" s="495"/>
      <c r="AN52" s="495"/>
      <c r="AO52" s="495"/>
      <c r="AP52" s="495"/>
      <c r="AQ52" s="495"/>
      <c r="AR52" s="495"/>
      <c r="AS52" s="495"/>
      <c r="AT52" s="495" t="s">
        <v>228</v>
      </c>
      <c r="AU52" s="495"/>
      <c r="AV52" s="495"/>
      <c r="AW52" s="495"/>
      <c r="AX52" s="495"/>
      <c r="AY52" s="495"/>
      <c r="AZ52" s="495"/>
      <c r="BA52" s="495"/>
      <c r="BB52" s="495"/>
      <c r="BC52" s="495"/>
      <c r="BD52" s="495"/>
      <c r="BE52" s="495"/>
      <c r="BF52" s="495" t="s">
        <v>228</v>
      </c>
      <c r="BG52" s="495"/>
      <c r="BH52" s="495"/>
      <c r="BI52" s="495"/>
      <c r="BJ52" s="495"/>
      <c r="BK52" s="495"/>
      <c r="BL52" s="495"/>
      <c r="BM52" s="495"/>
      <c r="BN52" s="495"/>
      <c r="BO52" s="495" t="s">
        <v>228</v>
      </c>
      <c r="BP52" s="495"/>
      <c r="BQ52" s="495"/>
      <c r="BR52" s="495"/>
      <c r="BS52" s="495"/>
      <c r="BT52" s="495"/>
      <c r="BU52" s="495"/>
      <c r="BV52" s="495"/>
      <c r="BW52" s="495"/>
      <c r="BX52" s="495"/>
      <c r="BY52" s="495"/>
      <c r="BZ52" s="495"/>
      <c r="CA52" s="495" t="s">
        <v>228</v>
      </c>
      <c r="CB52" s="495"/>
      <c r="CC52" s="495"/>
      <c r="CD52" s="495"/>
      <c r="CE52" s="495"/>
      <c r="CF52" s="495"/>
      <c r="CG52" s="495"/>
      <c r="CH52" s="495"/>
      <c r="CI52" s="495"/>
      <c r="CJ52" s="495" t="s">
        <v>228</v>
      </c>
      <c r="CK52" s="495"/>
      <c r="CL52" s="495"/>
      <c r="CM52" s="495"/>
      <c r="CN52" s="495"/>
      <c r="CO52" s="495"/>
      <c r="CP52" s="495"/>
      <c r="CQ52" s="495"/>
      <c r="CR52" s="495"/>
      <c r="CS52" s="495"/>
      <c r="CT52" s="495"/>
      <c r="CU52" s="495"/>
      <c r="CV52" s="495" t="s">
        <v>228</v>
      </c>
      <c r="CW52" s="495"/>
      <c r="CX52" s="495"/>
      <c r="CY52" s="495"/>
      <c r="CZ52" s="495"/>
      <c r="DA52" s="495"/>
      <c r="DB52" s="495"/>
      <c r="DC52" s="495"/>
      <c r="DD52" s="495"/>
    </row>
    <row r="53" spans="1:108" x14ac:dyDescent="0.25">
      <c r="M53" s="144"/>
      <c r="N53" s="144"/>
      <c r="O53" s="144"/>
      <c r="P53" s="144"/>
      <c r="Q53" s="144"/>
      <c r="R53" s="144"/>
      <c r="V53" s="144"/>
      <c r="W53" s="144"/>
      <c r="X53" s="144"/>
      <c r="AH53" s="144"/>
      <c r="AI53" s="144"/>
      <c r="AJ53" s="144"/>
      <c r="AK53" s="144"/>
      <c r="AL53" s="144"/>
      <c r="AM53" s="144"/>
      <c r="AQ53" s="144"/>
      <c r="AR53" s="144"/>
      <c r="AS53" s="144"/>
      <c r="BC53" s="144"/>
      <c r="BD53" s="144"/>
      <c r="BE53" s="144"/>
      <c r="BF53" s="144"/>
      <c r="BG53" s="144"/>
      <c r="BH53" s="144"/>
      <c r="BL53" s="144"/>
      <c r="BM53" s="144"/>
      <c r="BN53" s="144"/>
      <c r="BX53" s="144"/>
      <c r="BY53" s="144"/>
      <c r="BZ53" s="144"/>
      <c r="CA53" s="144"/>
      <c r="CB53" s="144"/>
      <c r="CC53" s="144"/>
      <c r="CG53" s="144"/>
      <c r="CH53" s="144"/>
      <c r="CI53" s="144"/>
      <c r="CS53" s="144"/>
      <c r="CT53" s="144"/>
      <c r="CU53" s="144"/>
      <c r="CV53" s="144"/>
      <c r="CW53" s="144"/>
      <c r="CX53" s="144"/>
      <c r="DB53" s="144"/>
      <c r="DC53" s="144"/>
      <c r="DD53" s="144"/>
    </row>
    <row r="54" spans="1:108" x14ac:dyDescent="0.25">
      <c r="M54" s="144"/>
      <c r="N54" s="144"/>
      <c r="O54" s="144"/>
      <c r="P54" s="144"/>
      <c r="Q54" s="144"/>
      <c r="R54" s="144"/>
      <c r="V54" s="144"/>
      <c r="W54" s="144"/>
      <c r="X54" s="144"/>
      <c r="AH54" s="144"/>
      <c r="AI54" s="144"/>
      <c r="AJ54" s="144"/>
      <c r="AK54" s="144"/>
      <c r="AL54" s="144"/>
      <c r="AM54" s="144"/>
      <c r="AQ54" s="144"/>
      <c r="AR54" s="144"/>
      <c r="AS54" s="144"/>
      <c r="BC54" s="144"/>
      <c r="BD54" s="144"/>
      <c r="BE54" s="144"/>
      <c r="BF54" s="144"/>
      <c r="BG54" s="144"/>
      <c r="BH54" s="144"/>
      <c r="BL54" s="144"/>
      <c r="BM54" s="144"/>
      <c r="BN54" s="144"/>
      <c r="BX54" s="144"/>
      <c r="BY54" s="144"/>
      <c r="BZ54" s="144"/>
      <c r="CA54" s="144"/>
      <c r="CB54" s="144"/>
      <c r="CC54" s="144"/>
      <c r="CG54" s="144"/>
      <c r="CH54" s="144"/>
      <c r="CI54" s="144"/>
      <c r="CS54" s="144"/>
      <c r="CT54" s="144"/>
      <c r="CU54" s="144"/>
      <c r="CV54" s="144"/>
      <c r="CW54" s="144"/>
      <c r="CX54" s="144"/>
      <c r="DB54" s="144"/>
      <c r="DC54" s="144"/>
      <c r="DD54" s="144"/>
    </row>
    <row r="55" spans="1:108" x14ac:dyDescent="0.25">
      <c r="M55" s="144"/>
      <c r="N55" s="144"/>
      <c r="O55" s="144"/>
      <c r="P55" s="144"/>
      <c r="Q55" s="144"/>
      <c r="R55" s="144"/>
      <c r="V55" s="144"/>
      <c r="W55" s="144"/>
      <c r="X55" s="144"/>
      <c r="AH55" s="144"/>
      <c r="AI55" s="144"/>
      <c r="AJ55" s="144"/>
      <c r="AK55" s="144"/>
      <c r="AL55" s="144"/>
      <c r="AM55" s="144"/>
      <c r="AQ55" s="144"/>
      <c r="AR55" s="144"/>
      <c r="AS55" s="144"/>
      <c r="BC55" s="144"/>
      <c r="BD55" s="144"/>
      <c r="BE55" s="144"/>
      <c r="BF55" s="144"/>
      <c r="BG55" s="144"/>
      <c r="BH55" s="144"/>
      <c r="BL55" s="144"/>
      <c r="BM55" s="144"/>
      <c r="BN55" s="144"/>
      <c r="BX55" s="144"/>
      <c r="BY55" s="144"/>
      <c r="BZ55" s="144"/>
      <c r="CA55" s="144"/>
      <c r="CB55" s="144"/>
      <c r="CC55" s="144"/>
      <c r="CG55" s="144"/>
      <c r="CH55" s="144"/>
      <c r="CI55" s="144"/>
      <c r="CS55" s="144"/>
      <c r="CT55" s="144"/>
      <c r="CU55" s="144"/>
      <c r="CV55" s="144"/>
      <c r="CW55" s="144"/>
      <c r="CX55" s="144"/>
      <c r="DB55" s="144"/>
      <c r="DC55" s="144"/>
      <c r="DD55" s="144"/>
    </row>
    <row r="56" spans="1:108" x14ac:dyDescent="0.25">
      <c r="M56" s="144"/>
      <c r="N56" s="144"/>
      <c r="O56" s="144"/>
      <c r="P56" s="144"/>
      <c r="Q56" s="144"/>
      <c r="R56" s="144"/>
      <c r="V56" s="144"/>
      <c r="W56" s="144"/>
      <c r="X56" s="144"/>
      <c r="AH56" s="144"/>
      <c r="AI56" s="144"/>
      <c r="AJ56" s="144"/>
      <c r="AK56" s="144"/>
      <c r="AL56" s="144"/>
      <c r="AM56" s="144"/>
      <c r="AQ56" s="144"/>
      <c r="AR56" s="144"/>
      <c r="AS56" s="144"/>
      <c r="BC56" s="144"/>
      <c r="BD56" s="144"/>
      <c r="BE56" s="144"/>
      <c r="BF56" s="144"/>
      <c r="BG56" s="144"/>
      <c r="BH56" s="144"/>
      <c r="BL56" s="144"/>
      <c r="BM56" s="144"/>
      <c r="BN56" s="144"/>
      <c r="BX56" s="144"/>
      <c r="BY56" s="144"/>
      <c r="BZ56" s="144"/>
      <c r="CA56" s="144"/>
      <c r="CB56" s="144"/>
      <c r="CC56" s="144"/>
      <c r="CG56" s="144"/>
      <c r="CH56" s="144"/>
      <c r="CI56" s="144"/>
      <c r="CS56" s="144"/>
      <c r="CT56" s="144"/>
      <c r="CU56" s="144"/>
      <c r="CV56" s="144"/>
      <c r="CW56" s="144"/>
      <c r="CX56" s="144"/>
      <c r="DB56" s="144"/>
      <c r="DC56" s="144"/>
      <c r="DD56" s="144"/>
    </row>
    <row r="57" spans="1:108" x14ac:dyDescent="0.25">
      <c r="M57" s="144"/>
      <c r="N57" s="144"/>
      <c r="O57" s="144"/>
      <c r="P57" s="144"/>
      <c r="Q57" s="144"/>
      <c r="R57" s="144"/>
      <c r="V57" s="144"/>
      <c r="W57" s="144"/>
      <c r="X57" s="144"/>
      <c r="AH57" s="144"/>
      <c r="AI57" s="144"/>
      <c r="AJ57" s="144"/>
      <c r="AK57" s="144"/>
      <c r="AL57" s="144"/>
      <c r="AM57" s="144"/>
      <c r="AQ57" s="144"/>
      <c r="AR57" s="144"/>
      <c r="AS57" s="144"/>
      <c r="BC57" s="144"/>
      <c r="BD57" s="144"/>
      <c r="BE57" s="144"/>
      <c r="BF57" s="144"/>
      <c r="BG57" s="144"/>
      <c r="BH57" s="144"/>
      <c r="BL57" s="144"/>
      <c r="BM57" s="144"/>
      <c r="BN57" s="144"/>
      <c r="BX57" s="144"/>
      <c r="BY57" s="144"/>
      <c r="BZ57" s="144"/>
      <c r="CA57" s="144"/>
      <c r="CB57" s="144"/>
      <c r="CC57" s="144"/>
      <c r="CG57" s="144"/>
      <c r="CH57" s="144"/>
      <c r="CI57" s="144"/>
      <c r="CS57" s="144"/>
      <c r="CT57" s="144"/>
      <c r="CU57" s="144"/>
      <c r="CV57" s="144"/>
      <c r="CW57" s="144"/>
      <c r="CX57" s="144"/>
      <c r="DB57" s="144"/>
      <c r="DC57" s="144"/>
      <c r="DD57" s="144"/>
    </row>
    <row r="58" spans="1:108" x14ac:dyDescent="0.25">
      <c r="M58" s="144"/>
      <c r="N58" s="144"/>
      <c r="O58" s="144"/>
      <c r="P58" s="144"/>
      <c r="Q58" s="144"/>
      <c r="R58" s="144"/>
      <c r="V58" s="144"/>
      <c r="W58" s="144"/>
      <c r="X58" s="144"/>
      <c r="AH58" s="144"/>
      <c r="AI58" s="144"/>
      <c r="AJ58" s="144"/>
      <c r="AK58" s="144"/>
      <c r="AL58" s="144"/>
      <c r="AM58" s="144"/>
      <c r="AQ58" s="144"/>
      <c r="AR58" s="144"/>
      <c r="AS58" s="144"/>
      <c r="BC58" s="144"/>
      <c r="BD58" s="144"/>
      <c r="BE58" s="144"/>
      <c r="BF58" s="144"/>
      <c r="BG58" s="144"/>
      <c r="BH58" s="144"/>
      <c r="BL58" s="144"/>
      <c r="BM58" s="144"/>
      <c r="BN58" s="144"/>
      <c r="BX58" s="144"/>
      <c r="BY58" s="144"/>
      <c r="BZ58" s="144"/>
      <c r="CA58" s="144"/>
      <c r="CB58" s="144"/>
      <c r="CC58" s="144"/>
      <c r="CG58" s="144"/>
      <c r="CH58" s="144"/>
      <c r="CI58" s="144"/>
      <c r="CS58" s="144"/>
      <c r="CT58" s="144"/>
      <c r="CU58" s="144"/>
      <c r="CV58" s="144"/>
      <c r="CW58" s="144"/>
      <c r="CX58" s="144"/>
      <c r="DB58" s="144"/>
      <c r="DC58" s="144"/>
      <c r="DD58" s="144"/>
    </row>
    <row r="59" spans="1:108" x14ac:dyDescent="0.25">
      <c r="M59" s="144"/>
      <c r="N59" s="144"/>
      <c r="O59" s="144"/>
      <c r="P59" s="144"/>
      <c r="Q59" s="144"/>
      <c r="R59" s="144"/>
      <c r="V59" s="144"/>
      <c r="W59" s="144"/>
      <c r="X59" s="144"/>
      <c r="AH59" s="144"/>
      <c r="AI59" s="144"/>
      <c r="AJ59" s="144"/>
      <c r="AK59" s="144"/>
      <c r="AL59" s="144"/>
      <c r="AM59" s="144"/>
      <c r="AQ59" s="144"/>
      <c r="AR59" s="144"/>
      <c r="AS59" s="144"/>
      <c r="BC59" s="144"/>
      <c r="BD59" s="144"/>
      <c r="BE59" s="144"/>
      <c r="BF59" s="144"/>
      <c r="BG59" s="144"/>
      <c r="BH59" s="144"/>
      <c r="BL59" s="144"/>
      <c r="BM59" s="144"/>
      <c r="BN59" s="144"/>
      <c r="BX59" s="144"/>
      <c r="BY59" s="144"/>
      <c r="BZ59" s="144"/>
      <c r="CA59" s="144"/>
      <c r="CB59" s="144"/>
      <c r="CC59" s="144"/>
      <c r="CG59" s="144"/>
      <c r="CH59" s="144"/>
      <c r="CI59" s="144"/>
      <c r="CS59" s="144"/>
      <c r="CT59" s="144"/>
      <c r="CU59" s="144"/>
      <c r="CV59" s="144"/>
      <c r="CW59" s="144"/>
      <c r="CX59" s="144"/>
      <c r="DB59" s="144"/>
      <c r="DC59" s="144"/>
      <c r="DD59" s="144"/>
    </row>
    <row r="60" spans="1:108" x14ac:dyDescent="0.25">
      <c r="M60" s="144"/>
      <c r="N60" s="144"/>
      <c r="O60" s="144"/>
      <c r="P60" s="144"/>
      <c r="Q60" s="144"/>
      <c r="R60" s="144"/>
      <c r="V60" s="144"/>
      <c r="W60" s="144"/>
      <c r="X60" s="144"/>
      <c r="AH60" s="144"/>
      <c r="AI60" s="144"/>
      <c r="AJ60" s="144"/>
      <c r="AK60" s="144"/>
      <c r="AL60" s="144"/>
      <c r="AM60" s="144"/>
      <c r="AQ60" s="144"/>
      <c r="AR60" s="144"/>
      <c r="AS60" s="144"/>
      <c r="BC60" s="144"/>
      <c r="BD60" s="144"/>
      <c r="BE60" s="144"/>
      <c r="BF60" s="144"/>
      <c r="BG60" s="144"/>
      <c r="BH60" s="144"/>
      <c r="BL60" s="144"/>
      <c r="BM60" s="144"/>
      <c r="BN60" s="144"/>
      <c r="BX60" s="144"/>
      <c r="BY60" s="144"/>
      <c r="BZ60" s="144"/>
      <c r="CA60" s="144"/>
      <c r="CB60" s="144"/>
      <c r="CC60" s="144"/>
      <c r="CG60" s="144"/>
      <c r="CH60" s="144"/>
      <c r="CI60" s="144"/>
      <c r="CS60" s="144"/>
      <c r="CT60" s="144"/>
      <c r="CU60" s="144"/>
      <c r="CV60" s="144"/>
      <c r="CW60" s="144"/>
      <c r="CX60" s="144"/>
      <c r="DB60" s="144"/>
      <c r="DC60" s="144"/>
      <c r="DD60" s="144"/>
    </row>
    <row r="61" spans="1:108" x14ac:dyDescent="0.25">
      <c r="M61" s="144"/>
      <c r="N61" s="144"/>
      <c r="O61" s="144"/>
      <c r="P61" s="144"/>
      <c r="Q61" s="144"/>
      <c r="R61" s="144"/>
      <c r="V61" s="144"/>
      <c r="W61" s="144"/>
      <c r="X61" s="144"/>
      <c r="AH61" s="144"/>
      <c r="AI61" s="144"/>
      <c r="AJ61" s="144"/>
      <c r="AK61" s="144"/>
      <c r="AL61" s="144"/>
      <c r="AM61" s="144"/>
      <c r="AQ61" s="144"/>
      <c r="AR61" s="144"/>
      <c r="AS61" s="144"/>
      <c r="BC61" s="144"/>
      <c r="BD61" s="144"/>
      <c r="BE61" s="144"/>
      <c r="BF61" s="144"/>
      <c r="BG61" s="144"/>
      <c r="BH61" s="144"/>
      <c r="BL61" s="144"/>
      <c r="BM61" s="144"/>
      <c r="BN61" s="144"/>
      <c r="BX61" s="144"/>
      <c r="BY61" s="144"/>
      <c r="BZ61" s="144"/>
      <c r="CA61" s="144"/>
      <c r="CB61" s="144"/>
      <c r="CC61" s="144"/>
      <c r="CG61" s="144"/>
      <c r="CH61" s="144"/>
      <c r="CI61" s="144"/>
      <c r="CS61" s="144"/>
      <c r="CT61" s="144"/>
      <c r="CU61" s="144"/>
      <c r="CV61" s="144"/>
      <c r="CW61" s="144"/>
      <c r="CX61" s="144"/>
      <c r="DB61" s="144"/>
      <c r="DC61" s="144"/>
      <c r="DD61" s="144"/>
    </row>
    <row r="62" spans="1:108" x14ac:dyDescent="0.25">
      <c r="M62" s="144"/>
      <c r="N62" s="144"/>
      <c r="O62" s="144"/>
      <c r="P62" s="144"/>
      <c r="Q62" s="144"/>
      <c r="R62" s="144"/>
      <c r="V62" s="144"/>
      <c r="W62" s="144"/>
      <c r="X62" s="144"/>
      <c r="AH62" s="144"/>
      <c r="AI62" s="144"/>
      <c r="AJ62" s="144"/>
      <c r="AK62" s="144"/>
      <c r="AL62" s="144"/>
      <c r="AM62" s="144"/>
      <c r="AQ62" s="144"/>
      <c r="AR62" s="144"/>
      <c r="AS62" s="144"/>
      <c r="BC62" s="144"/>
      <c r="BD62" s="144"/>
      <c r="BE62" s="144"/>
      <c r="BF62" s="144"/>
      <c r="BG62" s="144"/>
      <c r="BH62" s="144"/>
      <c r="BL62" s="144"/>
      <c r="BM62" s="144"/>
      <c r="BN62" s="144"/>
      <c r="BX62" s="144"/>
      <c r="BY62" s="144"/>
      <c r="BZ62" s="144"/>
      <c r="CA62" s="144"/>
      <c r="CB62" s="144"/>
      <c r="CC62" s="144"/>
      <c r="CG62" s="144"/>
      <c r="CH62" s="144"/>
      <c r="CI62" s="144"/>
      <c r="CS62" s="144"/>
      <c r="CT62" s="144"/>
      <c r="CU62" s="144"/>
      <c r="CV62" s="144"/>
      <c r="CW62" s="144"/>
      <c r="CX62" s="144"/>
      <c r="DB62" s="144"/>
      <c r="DC62" s="144"/>
      <c r="DD62" s="144"/>
    </row>
    <row r="63" spans="1:108" x14ac:dyDescent="0.25">
      <c r="M63" s="144"/>
      <c r="N63" s="144"/>
      <c r="O63" s="144"/>
      <c r="P63" s="144"/>
      <c r="Q63" s="144"/>
      <c r="R63" s="144"/>
      <c r="V63" s="144"/>
      <c r="W63" s="144"/>
      <c r="X63" s="144"/>
      <c r="AH63" s="144"/>
      <c r="AI63" s="144"/>
      <c r="AJ63" s="144"/>
      <c r="AK63" s="144"/>
      <c r="AL63" s="144"/>
      <c r="AM63" s="144"/>
      <c r="AQ63" s="144"/>
      <c r="AR63" s="144"/>
      <c r="AS63" s="144"/>
      <c r="BC63" s="144"/>
      <c r="BD63" s="144"/>
      <c r="BE63" s="144"/>
      <c r="BF63" s="144"/>
      <c r="BG63" s="144"/>
      <c r="BH63" s="144"/>
      <c r="BL63" s="144"/>
      <c r="BM63" s="144"/>
      <c r="BN63" s="144"/>
      <c r="BX63" s="144"/>
      <c r="BY63" s="144"/>
      <c r="BZ63" s="144"/>
      <c r="CA63" s="144"/>
      <c r="CB63" s="144"/>
      <c r="CC63" s="144"/>
      <c r="CG63" s="144"/>
      <c r="CH63" s="144"/>
      <c r="CI63" s="144"/>
      <c r="CS63" s="144"/>
      <c r="CT63" s="144"/>
      <c r="CU63" s="144"/>
      <c r="CV63" s="144"/>
      <c r="CW63" s="144"/>
      <c r="CX63" s="144"/>
      <c r="DB63" s="144"/>
      <c r="DC63" s="144"/>
      <c r="DD63" s="144"/>
    </row>
    <row r="64" spans="1:108" x14ac:dyDescent="0.25">
      <c r="M64" s="144"/>
      <c r="N64" s="144"/>
      <c r="O64" s="144"/>
      <c r="P64" s="144"/>
      <c r="Q64" s="144"/>
      <c r="R64" s="144"/>
      <c r="V64" s="144"/>
      <c r="W64" s="144"/>
      <c r="X64" s="144"/>
      <c r="AH64" s="144"/>
      <c r="AI64" s="144"/>
      <c r="AJ64" s="144"/>
      <c r="AK64" s="144"/>
      <c r="AL64" s="144"/>
      <c r="AM64" s="144"/>
      <c r="AQ64" s="144"/>
      <c r="AR64" s="144"/>
      <c r="AS64" s="144"/>
      <c r="BC64" s="144"/>
      <c r="BD64" s="144"/>
      <c r="BE64" s="144"/>
      <c r="BF64" s="144"/>
      <c r="BG64" s="144"/>
      <c r="BH64" s="144"/>
      <c r="BL64" s="144"/>
      <c r="BM64" s="144"/>
      <c r="BN64" s="144"/>
      <c r="BX64" s="144"/>
      <c r="BY64" s="144"/>
      <c r="BZ64" s="144"/>
      <c r="CA64" s="144"/>
      <c r="CB64" s="144"/>
      <c r="CC64" s="144"/>
      <c r="CG64" s="144"/>
      <c r="CH64" s="144"/>
      <c r="CI64" s="144"/>
      <c r="CS64" s="144"/>
      <c r="CT64" s="144"/>
      <c r="CU64" s="144"/>
      <c r="CV64" s="144"/>
      <c r="CW64" s="144"/>
      <c r="CX64" s="144"/>
      <c r="DB64" s="144"/>
      <c r="DC64" s="144"/>
      <c r="DD64" s="144"/>
    </row>
    <row r="65" spans="13:108" x14ac:dyDescent="0.25">
      <c r="M65" s="144"/>
      <c r="N65" s="144"/>
      <c r="O65" s="144"/>
      <c r="P65" s="144"/>
      <c r="Q65" s="144"/>
      <c r="R65" s="144"/>
      <c r="V65" s="144"/>
      <c r="W65" s="144"/>
      <c r="X65" s="144"/>
      <c r="AH65" s="144"/>
      <c r="AI65" s="144"/>
      <c r="AJ65" s="144"/>
      <c r="AK65" s="144"/>
      <c r="AL65" s="144"/>
      <c r="AM65" s="144"/>
      <c r="AQ65" s="144"/>
      <c r="AR65" s="144"/>
      <c r="AS65" s="144"/>
      <c r="BC65" s="144"/>
      <c r="BD65" s="144"/>
      <c r="BE65" s="144"/>
      <c r="BF65" s="144"/>
      <c r="BG65" s="144"/>
      <c r="BH65" s="144"/>
      <c r="BL65" s="144"/>
      <c r="BM65" s="144"/>
      <c r="BN65" s="144"/>
      <c r="BX65" s="144"/>
      <c r="BY65" s="144"/>
      <c r="BZ65" s="144"/>
      <c r="CA65" s="144"/>
      <c r="CB65" s="144"/>
      <c r="CC65" s="144"/>
      <c r="CG65" s="144"/>
      <c r="CH65" s="144"/>
      <c r="CI65" s="144"/>
      <c r="CS65" s="144"/>
      <c r="CT65" s="144"/>
      <c r="CU65" s="144"/>
      <c r="CV65" s="144"/>
      <c r="CW65" s="144"/>
      <c r="CX65" s="144"/>
      <c r="DB65" s="144"/>
      <c r="DC65" s="144"/>
      <c r="DD65" s="144"/>
    </row>
    <row r="66" spans="13:108" x14ac:dyDescent="0.25">
      <c r="M66" s="144"/>
      <c r="N66" s="144"/>
      <c r="O66" s="144"/>
      <c r="P66" s="144"/>
      <c r="Q66" s="144"/>
      <c r="R66" s="144"/>
      <c r="V66" s="144"/>
      <c r="W66" s="144"/>
      <c r="X66" s="144"/>
      <c r="AH66" s="144"/>
      <c r="AI66" s="144"/>
      <c r="AJ66" s="144"/>
      <c r="AK66" s="144"/>
      <c r="AL66" s="144"/>
      <c r="AM66" s="144"/>
      <c r="AQ66" s="144"/>
      <c r="AR66" s="144"/>
      <c r="AS66" s="144"/>
      <c r="BC66" s="144"/>
      <c r="BD66" s="144"/>
      <c r="BE66" s="144"/>
      <c r="BF66" s="144"/>
      <c r="BG66" s="144"/>
      <c r="BH66" s="144"/>
      <c r="BL66" s="144"/>
      <c r="BM66" s="144"/>
      <c r="BN66" s="144"/>
      <c r="BX66" s="144"/>
      <c r="BY66" s="144"/>
      <c r="BZ66" s="144"/>
      <c r="CA66" s="144"/>
      <c r="CB66" s="144"/>
      <c r="CC66" s="144"/>
      <c r="CG66" s="144"/>
      <c r="CH66" s="144"/>
      <c r="CI66" s="144"/>
      <c r="CS66" s="144"/>
      <c r="CT66" s="144"/>
      <c r="CU66" s="144"/>
      <c r="CV66" s="144"/>
      <c r="CW66" s="144"/>
      <c r="CX66" s="144"/>
      <c r="DB66" s="144"/>
      <c r="DC66" s="144"/>
      <c r="DD66" s="144"/>
    </row>
    <row r="67" spans="13:108" x14ac:dyDescent="0.25">
      <c r="M67" s="144"/>
      <c r="N67" s="144"/>
      <c r="O67" s="144"/>
      <c r="P67" s="144"/>
      <c r="Q67" s="144"/>
      <c r="R67" s="144"/>
      <c r="V67" s="144"/>
      <c r="W67" s="144"/>
      <c r="X67" s="144"/>
      <c r="AH67" s="144"/>
      <c r="AI67" s="144"/>
      <c r="AJ67" s="144"/>
      <c r="AK67" s="144"/>
      <c r="AL67" s="144"/>
      <c r="AM67" s="144"/>
      <c r="AQ67" s="144"/>
      <c r="AR67" s="144"/>
      <c r="AS67" s="144"/>
      <c r="BC67" s="144"/>
      <c r="BD67" s="144"/>
      <c r="BE67" s="144"/>
      <c r="BF67" s="144"/>
      <c r="BG67" s="144"/>
      <c r="BH67" s="144"/>
      <c r="BL67" s="144"/>
      <c r="BM67" s="144"/>
      <c r="BN67" s="144"/>
      <c r="BX67" s="144"/>
      <c r="BY67" s="144"/>
      <c r="BZ67" s="144"/>
      <c r="CA67" s="144"/>
      <c r="CB67" s="144"/>
      <c r="CC67" s="144"/>
      <c r="CG67" s="144"/>
      <c r="CH67" s="144"/>
      <c r="CI67" s="144"/>
      <c r="CS67" s="144"/>
      <c r="CT67" s="144"/>
      <c r="CU67" s="144"/>
      <c r="CV67" s="144"/>
      <c r="CW67" s="144"/>
      <c r="CX67" s="144"/>
      <c r="DB67" s="144"/>
      <c r="DC67" s="144"/>
      <c r="DD67" s="144"/>
    </row>
    <row r="68" spans="13:108" x14ac:dyDescent="0.25">
      <c r="M68" s="144"/>
      <c r="N68" s="144"/>
      <c r="O68" s="144"/>
      <c r="P68" s="144"/>
      <c r="Q68" s="144"/>
      <c r="R68" s="144"/>
      <c r="V68" s="144"/>
      <c r="W68" s="144"/>
      <c r="X68" s="144"/>
      <c r="AH68" s="144"/>
      <c r="AI68" s="144"/>
      <c r="AJ68" s="144"/>
      <c r="AK68" s="144"/>
      <c r="AL68" s="144"/>
      <c r="AM68" s="144"/>
      <c r="AQ68" s="144"/>
      <c r="AR68" s="144"/>
      <c r="AS68" s="144"/>
      <c r="BC68" s="144"/>
      <c r="BD68" s="144"/>
      <c r="BE68" s="144"/>
      <c r="BF68" s="144"/>
      <c r="BG68" s="144"/>
      <c r="BH68" s="144"/>
      <c r="BL68" s="144"/>
      <c r="BM68" s="144"/>
      <c r="BN68" s="144"/>
      <c r="BX68" s="144"/>
      <c r="BY68" s="144"/>
      <c r="BZ68" s="144"/>
      <c r="CA68" s="144"/>
      <c r="CB68" s="144"/>
      <c r="CC68" s="144"/>
      <c r="CG68" s="144"/>
      <c r="CH68" s="144"/>
      <c r="CI68" s="144"/>
      <c r="CS68" s="144"/>
      <c r="CT68" s="144"/>
      <c r="CU68" s="144"/>
      <c r="CV68" s="144"/>
      <c r="CW68" s="144"/>
      <c r="CX68" s="144"/>
      <c r="DB68" s="144"/>
      <c r="DC68" s="144"/>
      <c r="DD68" s="144"/>
    </row>
    <row r="69" spans="13:108" x14ac:dyDescent="0.25">
      <c r="M69" s="144"/>
      <c r="N69" s="144"/>
      <c r="O69" s="144"/>
      <c r="P69" s="144"/>
      <c r="Q69" s="144"/>
      <c r="R69" s="144"/>
      <c r="V69" s="144"/>
      <c r="W69" s="144"/>
      <c r="X69" s="144"/>
      <c r="AH69" s="144"/>
      <c r="AI69" s="144"/>
      <c r="AJ69" s="144"/>
      <c r="AK69" s="144"/>
      <c r="AL69" s="144"/>
      <c r="AM69" s="144"/>
      <c r="AQ69" s="144"/>
      <c r="AR69" s="144"/>
      <c r="AS69" s="144"/>
      <c r="BC69" s="144"/>
      <c r="BD69" s="144"/>
      <c r="BE69" s="144"/>
      <c r="BF69" s="144"/>
      <c r="BG69" s="144"/>
      <c r="BH69" s="144"/>
      <c r="BL69" s="144"/>
      <c r="BM69" s="144"/>
      <c r="BN69" s="144"/>
      <c r="BX69" s="144"/>
      <c r="BY69" s="144"/>
      <c r="BZ69" s="144"/>
      <c r="CA69" s="144"/>
      <c r="CB69" s="144"/>
      <c r="CC69" s="144"/>
      <c r="CG69" s="144"/>
      <c r="CH69" s="144"/>
      <c r="CI69" s="144"/>
      <c r="CS69" s="144"/>
      <c r="CT69" s="144"/>
      <c r="CU69" s="144"/>
      <c r="CV69" s="144"/>
      <c r="CW69" s="144"/>
      <c r="CX69" s="144"/>
      <c r="DB69" s="144"/>
      <c r="DC69" s="144"/>
      <c r="DD69" s="144"/>
    </row>
    <row r="70" spans="13:108" x14ac:dyDescent="0.25">
      <c r="M70" s="144"/>
      <c r="N70" s="144"/>
      <c r="O70" s="144"/>
      <c r="P70" s="144"/>
      <c r="Q70" s="144"/>
      <c r="R70" s="144"/>
      <c r="V70" s="144"/>
      <c r="W70" s="144"/>
      <c r="X70" s="144"/>
      <c r="AH70" s="144"/>
      <c r="AI70" s="144"/>
      <c r="AJ70" s="144"/>
      <c r="AK70" s="144"/>
      <c r="AL70" s="144"/>
      <c r="AM70" s="144"/>
      <c r="AQ70" s="144"/>
      <c r="AR70" s="144"/>
      <c r="AS70" s="144"/>
      <c r="BC70" s="144"/>
      <c r="BD70" s="144"/>
      <c r="BE70" s="144"/>
      <c r="BF70" s="144"/>
      <c r="BG70" s="144"/>
      <c r="BH70" s="144"/>
      <c r="BL70" s="144"/>
      <c r="BM70" s="144"/>
      <c r="BN70" s="144"/>
      <c r="BX70" s="144"/>
      <c r="BY70" s="144"/>
      <c r="BZ70" s="144"/>
      <c r="CA70" s="144"/>
      <c r="CB70" s="144"/>
      <c r="CC70" s="144"/>
      <c r="CG70" s="144"/>
      <c r="CH70" s="144"/>
      <c r="CI70" s="144"/>
      <c r="CS70" s="144"/>
      <c r="CT70" s="144"/>
      <c r="CU70" s="144"/>
      <c r="CV70" s="144"/>
      <c r="CW70" s="144"/>
      <c r="CX70" s="144"/>
      <c r="DB70" s="144"/>
      <c r="DC70" s="144"/>
      <c r="DD70" s="144"/>
    </row>
    <row r="71" spans="13:108" x14ac:dyDescent="0.25">
      <c r="M71" s="144"/>
      <c r="N71" s="144"/>
      <c r="O71" s="144"/>
      <c r="P71" s="144"/>
      <c r="Q71" s="144"/>
      <c r="R71" s="144"/>
      <c r="V71" s="144"/>
      <c r="W71" s="144"/>
      <c r="X71" s="144"/>
      <c r="AH71" s="144"/>
      <c r="AI71" s="144"/>
      <c r="AJ71" s="144"/>
      <c r="AK71" s="144"/>
      <c r="AL71" s="144"/>
      <c r="AM71" s="144"/>
      <c r="AQ71" s="144"/>
      <c r="AR71" s="144"/>
      <c r="AS71" s="144"/>
      <c r="BC71" s="144"/>
      <c r="BD71" s="144"/>
      <c r="BE71" s="144"/>
      <c r="BF71" s="144"/>
      <c r="BG71" s="144"/>
      <c r="BH71" s="144"/>
      <c r="BL71" s="144"/>
      <c r="BM71" s="144"/>
      <c r="BN71" s="144"/>
      <c r="BX71" s="144"/>
      <c r="BY71" s="144"/>
      <c r="BZ71" s="144"/>
      <c r="CA71" s="144"/>
      <c r="CB71" s="144"/>
      <c r="CC71" s="144"/>
      <c r="CG71" s="144"/>
      <c r="CH71" s="144"/>
      <c r="CI71" s="144"/>
      <c r="CS71" s="144"/>
      <c r="CT71" s="144"/>
      <c r="CU71" s="144"/>
      <c r="CV71" s="144"/>
      <c r="CW71" s="144"/>
      <c r="CX71" s="144"/>
      <c r="DB71" s="144"/>
      <c r="DC71" s="144"/>
      <c r="DD71" s="144"/>
    </row>
    <row r="72" spans="13:108" x14ac:dyDescent="0.25">
      <c r="M72" s="144"/>
      <c r="N72" s="144"/>
      <c r="O72" s="144"/>
      <c r="P72" s="144"/>
      <c r="Q72" s="144"/>
      <c r="R72" s="144"/>
      <c r="V72" s="144"/>
      <c r="W72" s="144"/>
      <c r="X72" s="144"/>
      <c r="AH72" s="144"/>
      <c r="AI72" s="144"/>
      <c r="AJ72" s="144"/>
      <c r="AK72" s="144"/>
      <c r="AL72" s="144"/>
      <c r="AM72" s="144"/>
      <c r="AQ72" s="144"/>
      <c r="AR72" s="144"/>
      <c r="AS72" s="144"/>
      <c r="BC72" s="144"/>
      <c r="BD72" s="144"/>
      <c r="BE72" s="144"/>
      <c r="BF72" s="144"/>
      <c r="BG72" s="144"/>
      <c r="BH72" s="144"/>
      <c r="BL72" s="144"/>
      <c r="BM72" s="144"/>
      <c r="BN72" s="144"/>
      <c r="BX72" s="144"/>
      <c r="BY72" s="144"/>
      <c r="BZ72" s="144"/>
      <c r="CA72" s="144"/>
      <c r="CB72" s="144"/>
      <c r="CC72" s="144"/>
      <c r="CG72" s="144"/>
      <c r="CH72" s="144"/>
      <c r="CI72" s="144"/>
      <c r="CS72" s="144"/>
      <c r="CT72" s="144"/>
      <c r="CU72" s="144"/>
      <c r="CV72" s="144"/>
      <c r="CW72" s="144"/>
      <c r="CX72" s="144"/>
      <c r="DB72" s="144"/>
      <c r="DC72" s="144"/>
      <c r="DD72" s="144"/>
    </row>
    <row r="73" spans="13:108" x14ac:dyDescent="0.25">
      <c r="M73" s="144"/>
      <c r="N73" s="144"/>
      <c r="O73" s="144"/>
      <c r="P73" s="144"/>
      <c r="Q73" s="144"/>
      <c r="R73" s="144"/>
      <c r="V73" s="144"/>
      <c r="W73" s="144"/>
      <c r="X73" s="144"/>
      <c r="AH73" s="144"/>
      <c r="AI73" s="144"/>
      <c r="AJ73" s="144"/>
      <c r="AK73" s="144"/>
      <c r="AL73" s="144"/>
      <c r="AM73" s="144"/>
      <c r="AQ73" s="144"/>
      <c r="AR73" s="144"/>
      <c r="AS73" s="144"/>
      <c r="BC73" s="144"/>
      <c r="BD73" s="144"/>
      <c r="BE73" s="144"/>
      <c r="BF73" s="144"/>
      <c r="BG73" s="144"/>
      <c r="BH73" s="144"/>
      <c r="BL73" s="144"/>
      <c r="BM73" s="144"/>
      <c r="BN73" s="144"/>
      <c r="BX73" s="144"/>
      <c r="BY73" s="144"/>
      <c r="BZ73" s="144"/>
      <c r="CA73" s="144"/>
      <c r="CB73" s="144"/>
      <c r="CC73" s="144"/>
      <c r="CG73" s="144"/>
      <c r="CH73" s="144"/>
      <c r="CI73" s="144"/>
      <c r="CS73" s="144"/>
      <c r="CT73" s="144"/>
      <c r="CU73" s="144"/>
      <c r="CV73" s="144"/>
      <c r="CW73" s="144"/>
      <c r="CX73" s="144"/>
      <c r="DB73" s="144"/>
      <c r="DC73" s="144"/>
      <c r="DD73" s="144"/>
    </row>
    <row r="74" spans="13:108" x14ac:dyDescent="0.25">
      <c r="M74" s="144"/>
      <c r="N74" s="144"/>
      <c r="O74" s="144"/>
      <c r="P74" s="144"/>
      <c r="Q74" s="144"/>
      <c r="R74" s="144"/>
      <c r="V74" s="144"/>
      <c r="W74" s="144"/>
      <c r="X74" s="144"/>
      <c r="AH74" s="144"/>
      <c r="AI74" s="144"/>
      <c r="AJ74" s="144"/>
      <c r="AK74" s="144"/>
      <c r="AL74" s="144"/>
      <c r="AM74" s="144"/>
      <c r="AQ74" s="144"/>
      <c r="AR74" s="144"/>
      <c r="AS74" s="144"/>
      <c r="BC74" s="144"/>
      <c r="BD74" s="144"/>
      <c r="BE74" s="144"/>
      <c r="BF74" s="144"/>
      <c r="BG74" s="144"/>
      <c r="BH74" s="144"/>
      <c r="BL74" s="144"/>
      <c r="BM74" s="144"/>
      <c r="BN74" s="144"/>
      <c r="BX74" s="144"/>
      <c r="BY74" s="144"/>
      <c r="BZ74" s="144"/>
      <c r="CA74" s="144"/>
      <c r="CB74" s="144"/>
      <c r="CC74" s="144"/>
      <c r="CG74" s="144"/>
      <c r="CH74" s="144"/>
      <c r="CI74" s="144"/>
      <c r="CS74" s="144"/>
      <c r="CT74" s="144"/>
      <c r="CU74" s="144"/>
      <c r="CV74" s="144"/>
      <c r="CW74" s="144"/>
      <c r="CX74" s="144"/>
      <c r="DB74" s="144"/>
      <c r="DC74" s="144"/>
      <c r="DD74" s="144"/>
    </row>
    <row r="75" spans="13:108" x14ac:dyDescent="0.25">
      <c r="M75" s="144"/>
      <c r="N75" s="144"/>
      <c r="O75" s="144"/>
      <c r="P75" s="144"/>
      <c r="Q75" s="144"/>
      <c r="R75" s="144"/>
      <c r="V75" s="144"/>
      <c r="W75" s="144"/>
      <c r="X75" s="144"/>
      <c r="AH75" s="144"/>
      <c r="AI75" s="144"/>
      <c r="AJ75" s="144"/>
      <c r="AK75" s="144"/>
      <c r="AL75" s="144"/>
      <c r="AM75" s="144"/>
      <c r="AQ75" s="144"/>
      <c r="AR75" s="144"/>
      <c r="AS75" s="144"/>
      <c r="BC75" s="144"/>
      <c r="BD75" s="144"/>
      <c r="BE75" s="144"/>
      <c r="BF75" s="144"/>
      <c r="BG75" s="144"/>
      <c r="BH75" s="144"/>
      <c r="BL75" s="144"/>
      <c r="BM75" s="144"/>
      <c r="BN75" s="144"/>
      <c r="BX75" s="144"/>
      <c r="BY75" s="144"/>
      <c r="BZ75" s="144"/>
      <c r="CA75" s="144"/>
      <c r="CB75" s="144"/>
      <c r="CC75" s="144"/>
      <c r="CG75" s="144"/>
      <c r="CH75" s="144"/>
      <c r="CI75" s="144"/>
      <c r="CS75" s="144"/>
      <c r="CT75" s="144"/>
      <c r="CU75" s="144"/>
      <c r="CV75" s="144"/>
      <c r="CW75" s="144"/>
      <c r="CX75" s="144"/>
      <c r="DB75" s="144"/>
      <c r="DC75" s="144"/>
      <c r="DD75" s="144"/>
    </row>
    <row r="76" spans="13:108" x14ac:dyDescent="0.25">
      <c r="M76" s="144"/>
      <c r="N76" s="144"/>
      <c r="O76" s="144"/>
      <c r="P76" s="144"/>
      <c r="Q76" s="144"/>
      <c r="R76" s="144"/>
      <c r="V76" s="144"/>
      <c r="W76" s="144"/>
      <c r="X76" s="144"/>
      <c r="AH76" s="144"/>
      <c r="AI76" s="144"/>
      <c r="AJ76" s="144"/>
      <c r="AK76" s="144"/>
      <c r="AL76" s="144"/>
      <c r="AM76" s="144"/>
      <c r="AQ76" s="144"/>
      <c r="AR76" s="144"/>
      <c r="AS76" s="144"/>
      <c r="BC76" s="144"/>
      <c r="BD76" s="144"/>
      <c r="BE76" s="144"/>
      <c r="BF76" s="144"/>
      <c r="BG76" s="144"/>
      <c r="BH76" s="144"/>
      <c r="BL76" s="144"/>
      <c r="BM76" s="144"/>
      <c r="BN76" s="144"/>
      <c r="BX76" s="144"/>
      <c r="BY76" s="144"/>
      <c r="BZ76" s="144"/>
      <c r="CA76" s="144"/>
      <c r="CB76" s="144"/>
      <c r="CC76" s="144"/>
      <c r="CG76" s="144"/>
      <c r="CH76" s="144"/>
      <c r="CI76" s="144"/>
      <c r="CS76" s="144"/>
      <c r="CT76" s="144"/>
      <c r="CU76" s="144"/>
      <c r="CV76" s="144"/>
      <c r="CW76" s="144"/>
      <c r="CX76" s="144"/>
      <c r="DB76" s="144"/>
      <c r="DC76" s="144"/>
      <c r="DD76" s="144"/>
    </row>
    <row r="77" spans="13:108" x14ac:dyDescent="0.25">
      <c r="M77" s="144"/>
      <c r="N77" s="144"/>
      <c r="O77" s="144"/>
      <c r="P77" s="144"/>
      <c r="Q77" s="144"/>
      <c r="R77" s="144"/>
      <c r="V77" s="144"/>
      <c r="W77" s="144"/>
      <c r="X77" s="144"/>
      <c r="AH77" s="144"/>
      <c r="AI77" s="144"/>
      <c r="AJ77" s="144"/>
      <c r="AK77" s="144"/>
      <c r="AL77" s="144"/>
      <c r="AM77" s="144"/>
      <c r="AQ77" s="144"/>
      <c r="AR77" s="144"/>
      <c r="AS77" s="144"/>
      <c r="BC77" s="144"/>
      <c r="BD77" s="144"/>
      <c r="BE77" s="144"/>
      <c r="BF77" s="144"/>
      <c r="BG77" s="144"/>
      <c r="BH77" s="144"/>
      <c r="BL77" s="144"/>
      <c r="BM77" s="144"/>
      <c r="BN77" s="144"/>
      <c r="BX77" s="144"/>
      <c r="BY77" s="144"/>
      <c r="BZ77" s="144"/>
      <c r="CA77" s="144"/>
      <c r="CB77" s="144"/>
      <c r="CC77" s="144"/>
      <c r="CG77" s="144"/>
      <c r="CH77" s="144"/>
      <c r="CI77" s="144"/>
      <c r="CS77" s="144"/>
      <c r="CT77" s="144"/>
      <c r="CU77" s="144"/>
      <c r="CV77" s="144"/>
      <c r="CW77" s="144"/>
      <c r="CX77" s="144"/>
      <c r="DB77" s="144"/>
      <c r="DC77" s="144"/>
      <c r="DD77" s="144"/>
    </row>
    <row r="78" spans="13:108" x14ac:dyDescent="0.25">
      <c r="M78" s="144"/>
      <c r="N78" s="144"/>
      <c r="O78" s="144"/>
      <c r="P78" s="144"/>
      <c r="Q78" s="144"/>
      <c r="R78" s="144"/>
      <c r="V78" s="144"/>
      <c r="W78" s="144"/>
      <c r="X78" s="144"/>
      <c r="AH78" s="144"/>
      <c r="AI78" s="144"/>
      <c r="AJ78" s="144"/>
      <c r="AK78" s="144"/>
      <c r="AL78" s="144"/>
      <c r="AM78" s="144"/>
      <c r="AQ78" s="144"/>
      <c r="AR78" s="144"/>
      <c r="AS78" s="144"/>
      <c r="BC78" s="144"/>
      <c r="BD78" s="144"/>
      <c r="BE78" s="144"/>
      <c r="BF78" s="144"/>
      <c r="BG78" s="144"/>
      <c r="BH78" s="144"/>
      <c r="BL78" s="144"/>
      <c r="BM78" s="144"/>
      <c r="BN78" s="144"/>
      <c r="BX78" s="144"/>
      <c r="BY78" s="144"/>
      <c r="BZ78" s="144"/>
      <c r="CA78" s="144"/>
      <c r="CB78" s="144"/>
      <c r="CC78" s="144"/>
      <c r="CG78" s="144"/>
      <c r="CH78" s="144"/>
      <c r="CI78" s="144"/>
      <c r="CS78" s="144"/>
      <c r="CT78" s="144"/>
      <c r="CU78" s="144"/>
      <c r="CV78" s="144"/>
      <c r="CW78" s="144"/>
      <c r="CX78" s="144"/>
      <c r="DB78" s="144"/>
      <c r="DC78" s="144"/>
      <c r="DD78" s="144"/>
    </row>
    <row r="79" spans="13:108" x14ac:dyDescent="0.25">
      <c r="M79" s="144"/>
      <c r="N79" s="144"/>
      <c r="O79" s="144"/>
      <c r="P79" s="144"/>
      <c r="Q79" s="144"/>
      <c r="R79" s="144"/>
      <c r="V79" s="144"/>
      <c r="W79" s="144"/>
      <c r="X79" s="144"/>
      <c r="AH79" s="144"/>
      <c r="AI79" s="144"/>
      <c r="AJ79" s="144"/>
      <c r="AK79" s="144"/>
      <c r="AL79" s="144"/>
      <c r="AM79" s="144"/>
      <c r="AQ79" s="144"/>
      <c r="AR79" s="144"/>
      <c r="AS79" s="144"/>
      <c r="BC79" s="144"/>
      <c r="BD79" s="144"/>
      <c r="BE79" s="144"/>
      <c r="BF79" s="144"/>
      <c r="BG79" s="144"/>
      <c r="BH79" s="144"/>
      <c r="BL79" s="144"/>
      <c r="BM79" s="144"/>
      <c r="BN79" s="144"/>
      <c r="BX79" s="144"/>
      <c r="BY79" s="144"/>
      <c r="BZ79" s="144"/>
      <c r="CA79" s="144"/>
      <c r="CB79" s="144"/>
      <c r="CC79" s="144"/>
      <c r="CG79" s="144"/>
      <c r="CH79" s="144"/>
      <c r="CI79" s="144"/>
      <c r="CS79" s="144"/>
      <c r="CT79" s="144"/>
      <c r="CU79" s="144"/>
      <c r="CV79" s="144"/>
      <c r="CW79" s="144"/>
      <c r="CX79" s="144"/>
      <c r="DB79" s="144"/>
      <c r="DC79" s="144"/>
      <c r="DD79" s="144"/>
    </row>
    <row r="80" spans="13:108" x14ac:dyDescent="0.25">
      <c r="M80" s="144"/>
      <c r="N80" s="144"/>
      <c r="O80" s="144"/>
      <c r="P80" s="144"/>
      <c r="Q80" s="144"/>
      <c r="R80" s="144"/>
      <c r="V80" s="144"/>
      <c r="W80" s="144"/>
      <c r="X80" s="144"/>
      <c r="AH80" s="144"/>
      <c r="AI80" s="144"/>
      <c r="AJ80" s="144"/>
      <c r="AK80" s="144"/>
      <c r="AL80" s="144"/>
      <c r="AM80" s="144"/>
      <c r="AQ80" s="144"/>
      <c r="AR80" s="144"/>
      <c r="AS80" s="144"/>
      <c r="BC80" s="144"/>
      <c r="BD80" s="144"/>
      <c r="BE80" s="144"/>
      <c r="BF80" s="144"/>
      <c r="BG80" s="144"/>
      <c r="BH80" s="144"/>
      <c r="BL80" s="144"/>
      <c r="BM80" s="144"/>
      <c r="BN80" s="144"/>
      <c r="BX80" s="144"/>
      <c r="BY80" s="144"/>
      <c r="BZ80" s="144"/>
      <c r="CA80" s="144"/>
      <c r="CB80" s="144"/>
      <c r="CC80" s="144"/>
      <c r="CG80" s="144"/>
      <c r="CH80" s="144"/>
      <c r="CI80" s="144"/>
      <c r="CS80" s="144"/>
      <c r="CT80" s="144"/>
      <c r="CU80" s="144"/>
      <c r="CV80" s="144"/>
      <c r="CW80" s="144"/>
      <c r="CX80" s="144"/>
      <c r="DB80" s="144"/>
      <c r="DC80" s="144"/>
      <c r="DD80" s="144"/>
    </row>
    <row r="81" spans="13:108" x14ac:dyDescent="0.25">
      <c r="M81" s="144"/>
      <c r="N81" s="144"/>
      <c r="O81" s="144"/>
      <c r="P81" s="144"/>
      <c r="Q81" s="144"/>
      <c r="R81" s="144"/>
      <c r="V81" s="144"/>
      <c r="W81" s="144"/>
      <c r="X81" s="144"/>
      <c r="AH81" s="144"/>
      <c r="AI81" s="144"/>
      <c r="AJ81" s="144"/>
      <c r="AK81" s="144"/>
      <c r="AL81" s="144"/>
      <c r="AM81" s="144"/>
      <c r="AQ81" s="144"/>
      <c r="AR81" s="144"/>
      <c r="AS81" s="144"/>
      <c r="BC81" s="144"/>
      <c r="BD81" s="144"/>
      <c r="BE81" s="144"/>
      <c r="BF81" s="144"/>
      <c r="BG81" s="144"/>
      <c r="BH81" s="144"/>
      <c r="BL81" s="144"/>
      <c r="BM81" s="144"/>
      <c r="BN81" s="144"/>
      <c r="BX81" s="144"/>
      <c r="BY81" s="144"/>
      <c r="BZ81" s="144"/>
      <c r="CA81" s="144"/>
      <c r="CB81" s="144"/>
      <c r="CC81" s="144"/>
      <c r="CG81" s="144"/>
      <c r="CH81" s="144"/>
      <c r="CI81" s="144"/>
      <c r="CS81" s="144"/>
      <c r="CT81" s="144"/>
      <c r="CU81" s="144"/>
      <c r="CV81" s="144"/>
      <c r="CW81" s="144"/>
      <c r="CX81" s="144"/>
      <c r="DB81" s="144"/>
      <c r="DC81" s="144"/>
      <c r="DD81" s="144"/>
    </row>
    <row r="82" spans="13:108" x14ac:dyDescent="0.25">
      <c r="M82" s="144"/>
      <c r="N82" s="144"/>
      <c r="O82" s="144"/>
      <c r="P82" s="144"/>
      <c r="Q82" s="144"/>
      <c r="R82" s="144"/>
      <c r="V82" s="144"/>
      <c r="W82" s="144"/>
      <c r="X82" s="144"/>
      <c r="AH82" s="144"/>
      <c r="AI82" s="144"/>
      <c r="AJ82" s="144"/>
      <c r="AK82" s="144"/>
      <c r="AL82" s="144"/>
      <c r="AM82" s="144"/>
      <c r="AQ82" s="144"/>
      <c r="AR82" s="144"/>
      <c r="AS82" s="144"/>
      <c r="BC82" s="144"/>
      <c r="BD82" s="144"/>
      <c r="BE82" s="144"/>
      <c r="BF82" s="144"/>
      <c r="BG82" s="144"/>
      <c r="BH82" s="144"/>
      <c r="BL82" s="144"/>
      <c r="BM82" s="144"/>
      <c r="BN82" s="144"/>
      <c r="BX82" s="144"/>
      <c r="BY82" s="144"/>
      <c r="BZ82" s="144"/>
      <c r="CA82" s="144"/>
      <c r="CB82" s="144"/>
      <c r="CC82" s="144"/>
      <c r="CG82" s="144"/>
      <c r="CH82" s="144"/>
      <c r="CI82" s="144"/>
      <c r="CS82" s="144"/>
      <c r="CT82" s="144"/>
      <c r="CU82" s="144"/>
      <c r="CV82" s="144"/>
      <c r="CW82" s="144"/>
      <c r="CX82" s="144"/>
      <c r="DB82" s="144"/>
      <c r="DC82" s="144"/>
      <c r="DD82" s="144"/>
    </row>
    <row r="83" spans="13:108" x14ac:dyDescent="0.25">
      <c r="M83" s="144"/>
      <c r="N83" s="144"/>
      <c r="O83" s="144"/>
      <c r="P83" s="144"/>
      <c r="Q83" s="144"/>
      <c r="R83" s="144"/>
      <c r="V83" s="144"/>
      <c r="W83" s="144"/>
      <c r="X83" s="144"/>
      <c r="AH83" s="144"/>
      <c r="AI83" s="144"/>
      <c r="AJ83" s="144"/>
      <c r="AK83" s="144"/>
      <c r="AL83" s="144"/>
      <c r="AM83" s="144"/>
      <c r="AQ83" s="144"/>
      <c r="AR83" s="144"/>
      <c r="AS83" s="144"/>
      <c r="BC83" s="144"/>
      <c r="BD83" s="144"/>
      <c r="BE83" s="144"/>
      <c r="BF83" s="144"/>
      <c r="BG83" s="144"/>
      <c r="BH83" s="144"/>
      <c r="BL83" s="144"/>
      <c r="BM83" s="144"/>
      <c r="BN83" s="144"/>
      <c r="BX83" s="144"/>
      <c r="BY83" s="144"/>
      <c r="BZ83" s="144"/>
      <c r="CA83" s="144"/>
      <c r="CB83" s="144"/>
      <c r="CC83" s="144"/>
      <c r="CG83" s="144"/>
      <c r="CH83" s="144"/>
      <c r="CI83" s="144"/>
      <c r="CS83" s="144"/>
      <c r="CT83" s="144"/>
      <c r="CU83" s="144"/>
      <c r="CV83" s="144"/>
      <c r="CW83" s="144"/>
      <c r="CX83" s="144"/>
      <c r="DB83" s="144"/>
      <c r="DC83" s="144"/>
      <c r="DD83" s="144"/>
    </row>
    <row r="84" spans="13:108" x14ac:dyDescent="0.25">
      <c r="M84" s="144"/>
      <c r="N84" s="144"/>
      <c r="O84" s="144"/>
      <c r="P84" s="144"/>
      <c r="Q84" s="144"/>
      <c r="R84" s="144"/>
      <c r="V84" s="144"/>
      <c r="W84" s="144"/>
      <c r="X84" s="144"/>
      <c r="AH84" s="144"/>
      <c r="AI84" s="144"/>
      <c r="AJ84" s="144"/>
      <c r="AK84" s="144"/>
      <c r="AL84" s="144"/>
      <c r="AM84" s="144"/>
      <c r="AQ84" s="144"/>
      <c r="AR84" s="144"/>
      <c r="AS84" s="144"/>
      <c r="BC84" s="144"/>
      <c r="BD84" s="144"/>
      <c r="BE84" s="144"/>
      <c r="BF84" s="144"/>
      <c r="BG84" s="144"/>
      <c r="BH84" s="144"/>
      <c r="BL84" s="144"/>
      <c r="BM84" s="144"/>
      <c r="BN84" s="144"/>
      <c r="BX84" s="144"/>
      <c r="BY84" s="144"/>
      <c r="BZ84" s="144"/>
      <c r="CA84" s="144"/>
      <c r="CB84" s="144"/>
      <c r="CC84" s="144"/>
      <c r="CG84" s="144"/>
      <c r="CH84" s="144"/>
      <c r="CI84" s="144"/>
      <c r="CS84" s="144"/>
      <c r="CT84" s="144"/>
      <c r="CU84" s="144"/>
      <c r="CV84" s="144"/>
      <c r="CW84" s="144"/>
      <c r="CX84" s="144"/>
      <c r="DB84" s="144"/>
      <c r="DC84" s="144"/>
      <c r="DD84" s="144"/>
    </row>
    <row r="85" spans="13:108" x14ac:dyDescent="0.25">
      <c r="M85" s="144"/>
      <c r="N85" s="144"/>
      <c r="O85" s="144"/>
      <c r="P85" s="144"/>
      <c r="Q85" s="144"/>
      <c r="R85" s="144"/>
      <c r="V85" s="144"/>
      <c r="W85" s="144"/>
      <c r="X85" s="144"/>
      <c r="AH85" s="144"/>
      <c r="AI85" s="144"/>
      <c r="AJ85" s="144"/>
      <c r="AK85" s="144"/>
      <c r="AL85" s="144"/>
      <c r="AM85" s="144"/>
      <c r="AQ85" s="144"/>
      <c r="AR85" s="144"/>
      <c r="AS85" s="144"/>
      <c r="BC85" s="144"/>
      <c r="BD85" s="144"/>
      <c r="BE85" s="144"/>
      <c r="BF85" s="144"/>
      <c r="BG85" s="144"/>
      <c r="BH85" s="144"/>
      <c r="BL85" s="144"/>
      <c r="BM85" s="144"/>
      <c r="BN85" s="144"/>
      <c r="BX85" s="144"/>
      <c r="BY85" s="144"/>
      <c r="BZ85" s="144"/>
      <c r="CA85" s="144"/>
      <c r="CB85" s="144"/>
      <c r="CC85" s="144"/>
      <c r="CG85" s="144"/>
      <c r="CH85" s="144"/>
      <c r="CI85" s="144"/>
      <c r="CS85" s="144"/>
      <c r="CT85" s="144"/>
      <c r="CU85" s="144"/>
      <c r="CV85" s="144"/>
      <c r="CW85" s="144"/>
      <c r="CX85" s="144"/>
      <c r="DB85" s="144"/>
      <c r="DC85" s="144"/>
      <c r="DD85" s="144"/>
    </row>
    <row r="86" spans="13:108" x14ac:dyDescent="0.25">
      <c r="M86" s="144"/>
      <c r="N86" s="144"/>
      <c r="O86" s="144"/>
      <c r="P86" s="144"/>
      <c r="Q86" s="144"/>
      <c r="R86" s="144"/>
      <c r="V86" s="144"/>
      <c r="W86" s="144"/>
      <c r="X86" s="144"/>
      <c r="AH86" s="144"/>
      <c r="AI86" s="144"/>
      <c r="AJ86" s="144"/>
      <c r="AK86" s="144"/>
      <c r="AL86" s="144"/>
      <c r="AM86" s="144"/>
      <c r="AQ86" s="144"/>
      <c r="AR86" s="144"/>
      <c r="AS86" s="144"/>
      <c r="BC86" s="144"/>
      <c r="BD86" s="144"/>
      <c r="BE86" s="144"/>
      <c r="BF86" s="144"/>
      <c r="BG86" s="144"/>
      <c r="BH86" s="144"/>
      <c r="BL86" s="144"/>
      <c r="BM86" s="144"/>
      <c r="BN86" s="144"/>
      <c r="BX86" s="144"/>
      <c r="BY86" s="144"/>
      <c r="BZ86" s="144"/>
      <c r="CA86" s="144"/>
      <c r="CB86" s="144"/>
      <c r="CC86" s="144"/>
      <c r="CG86" s="144"/>
      <c r="CH86" s="144"/>
      <c r="CI86" s="144"/>
      <c r="CS86" s="144"/>
      <c r="CT86" s="144"/>
      <c r="CU86" s="144"/>
      <c r="CV86" s="144"/>
      <c r="CW86" s="144"/>
      <c r="CX86" s="144"/>
      <c r="DB86" s="144"/>
      <c r="DC86" s="144"/>
      <c r="DD86" s="144"/>
    </row>
    <row r="87" spans="13:108" x14ac:dyDescent="0.25">
      <c r="M87" s="144"/>
      <c r="N87" s="144"/>
      <c r="O87" s="144"/>
      <c r="P87" s="144"/>
      <c r="Q87" s="144"/>
      <c r="R87" s="144"/>
      <c r="V87" s="144"/>
      <c r="W87" s="144"/>
      <c r="X87" s="144"/>
      <c r="AH87" s="144"/>
      <c r="AI87" s="144"/>
      <c r="AJ87" s="144"/>
      <c r="AK87" s="144"/>
      <c r="AL87" s="144"/>
      <c r="AM87" s="144"/>
      <c r="AQ87" s="144"/>
      <c r="AR87" s="144"/>
      <c r="AS87" s="144"/>
      <c r="BC87" s="144"/>
      <c r="BD87" s="144"/>
      <c r="BE87" s="144"/>
      <c r="BF87" s="144"/>
      <c r="BG87" s="144"/>
      <c r="BH87" s="144"/>
      <c r="BL87" s="144"/>
      <c r="BM87" s="144"/>
      <c r="BN87" s="144"/>
      <c r="BX87" s="144"/>
      <c r="BY87" s="144"/>
      <c r="BZ87" s="144"/>
      <c r="CA87" s="144"/>
      <c r="CB87" s="144"/>
      <c r="CC87" s="144"/>
      <c r="CG87" s="144"/>
      <c r="CH87" s="144"/>
      <c r="CI87" s="144"/>
      <c r="CS87" s="144"/>
      <c r="CT87" s="144"/>
      <c r="CU87" s="144"/>
      <c r="CV87" s="144"/>
      <c r="CW87" s="144"/>
      <c r="CX87" s="144"/>
      <c r="DB87" s="144"/>
      <c r="DC87" s="144"/>
      <c r="DD87" s="144"/>
    </row>
    <row r="88" spans="13:108" x14ac:dyDescent="0.25">
      <c r="M88" s="144"/>
      <c r="N88" s="144"/>
      <c r="O88" s="144"/>
      <c r="P88" s="144"/>
      <c r="Q88" s="144"/>
      <c r="R88" s="144"/>
      <c r="V88" s="144"/>
      <c r="W88" s="144"/>
      <c r="X88" s="144"/>
      <c r="AH88" s="144"/>
      <c r="AI88" s="144"/>
      <c r="AJ88" s="144"/>
      <c r="AK88" s="144"/>
      <c r="AL88" s="144"/>
      <c r="AM88" s="144"/>
      <c r="AQ88" s="144"/>
      <c r="AR88" s="144"/>
      <c r="AS88" s="144"/>
      <c r="BC88" s="144"/>
      <c r="BD88" s="144"/>
      <c r="BE88" s="144"/>
      <c r="BF88" s="144"/>
      <c r="BG88" s="144"/>
      <c r="BH88" s="144"/>
      <c r="BL88" s="144"/>
      <c r="BM88" s="144"/>
      <c r="BN88" s="144"/>
      <c r="BX88" s="144"/>
      <c r="BY88" s="144"/>
      <c r="BZ88" s="144"/>
      <c r="CA88" s="144"/>
      <c r="CB88" s="144"/>
      <c r="CC88" s="144"/>
      <c r="CG88" s="144"/>
      <c r="CH88" s="144"/>
      <c r="CI88" s="144"/>
      <c r="CS88" s="144"/>
      <c r="CT88" s="144"/>
      <c r="CU88" s="144"/>
      <c r="CV88" s="144"/>
      <c r="CW88" s="144"/>
      <c r="CX88" s="144"/>
      <c r="DB88" s="144"/>
      <c r="DC88" s="144"/>
      <c r="DD88" s="144"/>
    </row>
    <row r="89" spans="13:108" x14ac:dyDescent="0.25">
      <c r="M89" s="144"/>
      <c r="N89" s="144"/>
      <c r="O89" s="144"/>
      <c r="P89" s="144"/>
      <c r="Q89" s="144"/>
      <c r="R89" s="144"/>
      <c r="V89" s="144"/>
      <c r="W89" s="144"/>
      <c r="X89" s="144"/>
      <c r="AH89" s="144"/>
      <c r="AI89" s="144"/>
      <c r="AJ89" s="144"/>
      <c r="AK89" s="144"/>
      <c r="AL89" s="144"/>
      <c r="AM89" s="144"/>
      <c r="AQ89" s="144"/>
      <c r="AR89" s="144"/>
      <c r="AS89" s="144"/>
      <c r="BC89" s="144"/>
      <c r="BD89" s="144"/>
      <c r="BE89" s="144"/>
      <c r="BF89" s="144"/>
      <c r="BG89" s="144"/>
      <c r="BH89" s="144"/>
      <c r="BL89" s="144"/>
      <c r="BM89" s="144"/>
      <c r="BN89" s="144"/>
      <c r="BX89" s="144"/>
      <c r="BY89" s="144"/>
      <c r="BZ89" s="144"/>
      <c r="CA89" s="144"/>
      <c r="CB89" s="144"/>
      <c r="CC89" s="144"/>
      <c r="CG89" s="144"/>
      <c r="CH89" s="144"/>
      <c r="CI89" s="144"/>
      <c r="CS89" s="144"/>
      <c r="CT89" s="144"/>
      <c r="CU89" s="144"/>
      <c r="CV89" s="144"/>
      <c r="CW89" s="144"/>
      <c r="CX89" s="144"/>
      <c r="DB89" s="144"/>
      <c r="DC89" s="144"/>
      <c r="DD89" s="144"/>
    </row>
    <row r="90" spans="13:108" x14ac:dyDescent="0.25">
      <c r="M90" s="144"/>
      <c r="N90" s="144"/>
      <c r="O90" s="144"/>
      <c r="P90" s="144"/>
      <c r="Q90" s="144"/>
      <c r="R90" s="144"/>
      <c r="V90" s="144"/>
      <c r="W90" s="144"/>
      <c r="X90" s="144"/>
      <c r="AH90" s="144"/>
      <c r="AI90" s="144"/>
      <c r="AJ90" s="144"/>
      <c r="AK90" s="144"/>
      <c r="AL90" s="144"/>
      <c r="AM90" s="144"/>
      <c r="AQ90" s="144"/>
      <c r="AR90" s="144"/>
      <c r="AS90" s="144"/>
      <c r="BC90" s="144"/>
      <c r="BD90" s="144"/>
      <c r="BE90" s="144"/>
      <c r="BF90" s="144"/>
      <c r="BG90" s="144"/>
      <c r="BH90" s="144"/>
      <c r="BL90" s="144"/>
      <c r="BM90" s="144"/>
      <c r="BN90" s="144"/>
      <c r="BX90" s="144"/>
      <c r="BY90" s="144"/>
      <c r="BZ90" s="144"/>
      <c r="CA90" s="144"/>
      <c r="CB90" s="144"/>
      <c r="CC90" s="144"/>
      <c r="CG90" s="144"/>
      <c r="CH90" s="144"/>
      <c r="CI90" s="144"/>
      <c r="CS90" s="144"/>
      <c r="CT90" s="144"/>
      <c r="CU90" s="144"/>
      <c r="CV90" s="144"/>
      <c r="CW90" s="144"/>
      <c r="CX90" s="144"/>
      <c r="DB90" s="144"/>
      <c r="DC90" s="144"/>
      <c r="DD90" s="144"/>
    </row>
    <row r="91" spans="13:108" x14ac:dyDescent="0.25">
      <c r="M91" s="144"/>
      <c r="N91" s="144"/>
      <c r="O91" s="144"/>
      <c r="P91" s="144"/>
      <c r="Q91" s="144"/>
      <c r="R91" s="144"/>
      <c r="V91" s="144"/>
      <c r="W91" s="144"/>
      <c r="X91" s="144"/>
      <c r="AH91" s="144"/>
      <c r="AI91" s="144"/>
      <c r="AJ91" s="144"/>
      <c r="AK91" s="144"/>
      <c r="AL91" s="144"/>
      <c r="AM91" s="144"/>
      <c r="AQ91" s="144"/>
      <c r="AR91" s="144"/>
      <c r="AS91" s="144"/>
      <c r="BC91" s="144"/>
      <c r="BD91" s="144"/>
      <c r="BE91" s="144"/>
      <c r="BF91" s="144"/>
      <c r="BG91" s="144"/>
      <c r="BH91" s="144"/>
      <c r="BL91" s="144"/>
      <c r="BM91" s="144"/>
      <c r="BN91" s="144"/>
      <c r="BX91" s="144"/>
      <c r="BY91" s="144"/>
      <c r="BZ91" s="144"/>
      <c r="CA91" s="144"/>
      <c r="CB91" s="144"/>
      <c r="CC91" s="144"/>
      <c r="CG91" s="144"/>
      <c r="CH91" s="144"/>
      <c r="CI91" s="144"/>
      <c r="CS91" s="144"/>
      <c r="CT91" s="144"/>
      <c r="CU91" s="144"/>
      <c r="CV91" s="144"/>
      <c r="CW91" s="144"/>
      <c r="CX91" s="144"/>
      <c r="DB91" s="144"/>
      <c r="DC91" s="144"/>
      <c r="DD91" s="144"/>
    </row>
    <row r="92" spans="13:108" x14ac:dyDescent="0.25">
      <c r="M92" s="144"/>
      <c r="N92" s="144"/>
      <c r="O92" s="144"/>
      <c r="P92" s="144"/>
      <c r="Q92" s="144"/>
      <c r="R92" s="144"/>
      <c r="V92" s="144"/>
      <c r="W92" s="144"/>
      <c r="X92" s="144"/>
      <c r="AH92" s="144"/>
      <c r="AI92" s="144"/>
      <c r="AJ92" s="144"/>
      <c r="AK92" s="144"/>
      <c r="AL92" s="144"/>
      <c r="AM92" s="144"/>
      <c r="AQ92" s="144"/>
      <c r="AR92" s="144"/>
      <c r="AS92" s="144"/>
      <c r="BC92" s="144"/>
      <c r="BD92" s="144"/>
      <c r="BE92" s="144"/>
      <c r="BF92" s="144"/>
      <c r="BG92" s="144"/>
      <c r="BH92" s="144"/>
      <c r="BL92" s="144"/>
      <c r="BM92" s="144"/>
      <c r="BN92" s="144"/>
      <c r="BX92" s="144"/>
      <c r="BY92" s="144"/>
      <c r="BZ92" s="144"/>
      <c r="CA92" s="144"/>
      <c r="CB92" s="144"/>
      <c r="CC92" s="144"/>
      <c r="CG92" s="144"/>
      <c r="CH92" s="144"/>
      <c r="CI92" s="144"/>
      <c r="CS92" s="144"/>
      <c r="CT92" s="144"/>
      <c r="CU92" s="144"/>
      <c r="CV92" s="144"/>
      <c r="CW92" s="144"/>
      <c r="CX92" s="144"/>
      <c r="DB92" s="144"/>
      <c r="DC92" s="144"/>
      <c r="DD92" s="144"/>
    </row>
    <row r="93" spans="13:108" x14ac:dyDescent="0.25">
      <c r="M93" s="144"/>
      <c r="N93" s="144"/>
      <c r="O93" s="144"/>
      <c r="P93" s="144"/>
      <c r="Q93" s="144"/>
      <c r="R93" s="144"/>
      <c r="V93" s="144"/>
      <c r="W93" s="144"/>
      <c r="X93" s="144"/>
      <c r="AH93" s="144"/>
      <c r="AI93" s="144"/>
      <c r="AJ93" s="144"/>
      <c r="AK93" s="144"/>
      <c r="AL93" s="144"/>
      <c r="AM93" s="144"/>
      <c r="AQ93" s="144"/>
      <c r="AR93" s="144"/>
      <c r="AS93" s="144"/>
      <c r="BC93" s="144"/>
      <c r="BD93" s="144"/>
      <c r="BE93" s="144"/>
      <c r="BF93" s="144"/>
      <c r="BG93" s="144"/>
      <c r="BH93" s="144"/>
      <c r="BL93" s="144"/>
      <c r="BM93" s="144"/>
      <c r="BN93" s="144"/>
      <c r="BX93" s="144"/>
      <c r="BY93" s="144"/>
      <c r="BZ93" s="144"/>
      <c r="CA93" s="144"/>
      <c r="CB93" s="144"/>
      <c r="CC93" s="144"/>
      <c r="CG93" s="144"/>
      <c r="CH93" s="144"/>
      <c r="CI93" s="144"/>
      <c r="CS93" s="144"/>
      <c r="CT93" s="144"/>
      <c r="CU93" s="144"/>
      <c r="CV93" s="144"/>
      <c r="CW93" s="144"/>
      <c r="CX93" s="144"/>
      <c r="DB93" s="144"/>
      <c r="DC93" s="144"/>
      <c r="DD93" s="144"/>
    </row>
  </sheetData>
  <mergeCells count="121">
    <mergeCell ref="CJ50:CU50"/>
    <mergeCell ref="CV50:DD50"/>
    <mergeCell ref="CJ51:CU51"/>
    <mergeCell ref="CV51:DD51"/>
    <mergeCell ref="CJ52:CU52"/>
    <mergeCell ref="CV52:DD52"/>
    <mergeCell ref="BO50:BZ50"/>
    <mergeCell ref="CA50:CI50"/>
    <mergeCell ref="BO51:BZ51"/>
    <mergeCell ref="CA51:CI51"/>
    <mergeCell ref="BO52:BZ52"/>
    <mergeCell ref="CA52:CI52"/>
    <mergeCell ref="AT50:BE50"/>
    <mergeCell ref="BF50:BN50"/>
    <mergeCell ref="AT51:BE51"/>
    <mergeCell ref="BF51:BN51"/>
    <mergeCell ref="AT52:BE52"/>
    <mergeCell ref="BF52:BN52"/>
    <mergeCell ref="AK50:AS50"/>
    <mergeCell ref="Y51:AJ51"/>
    <mergeCell ref="AK51:AS51"/>
    <mergeCell ref="Y52:AJ52"/>
    <mergeCell ref="AK52:AS52"/>
    <mergeCell ref="D50:O50"/>
    <mergeCell ref="D51:O51"/>
    <mergeCell ref="D52:O52"/>
    <mergeCell ref="P50:X50"/>
    <mergeCell ref="P51:X51"/>
    <mergeCell ref="P52:X52"/>
    <mergeCell ref="Y50:AJ50"/>
    <mergeCell ref="AN5:AP5"/>
    <mergeCell ref="AQ5:AS5"/>
    <mergeCell ref="Y1:AJ1"/>
    <mergeCell ref="Y2:AJ2"/>
    <mergeCell ref="AE4:AG4"/>
    <mergeCell ref="AH4:AJ5"/>
    <mergeCell ref="Y3:AJ3"/>
    <mergeCell ref="AK3:AM5"/>
    <mergeCell ref="AN3:AP4"/>
    <mergeCell ref="AQ3:AS4"/>
    <mergeCell ref="Y4:AA5"/>
    <mergeCell ref="AB4:AD5"/>
    <mergeCell ref="AE5:AG5"/>
    <mergeCell ref="AK2:AS2"/>
    <mergeCell ref="AK1:AS1"/>
    <mergeCell ref="P2:X2"/>
    <mergeCell ref="D1:O1"/>
    <mergeCell ref="P1:X1"/>
    <mergeCell ref="J4:O4"/>
    <mergeCell ref="P3:R5"/>
    <mergeCell ref="S3:U4"/>
    <mergeCell ref="V3:X4"/>
    <mergeCell ref="V5:X5"/>
    <mergeCell ref="S5:U5"/>
    <mergeCell ref="D4:F5"/>
    <mergeCell ref="A49:C49"/>
    <mergeCell ref="J5:L5"/>
    <mergeCell ref="G4:I5"/>
    <mergeCell ref="B10:B11"/>
    <mergeCell ref="B12:B14"/>
    <mergeCell ref="B15:B17"/>
    <mergeCell ref="B7:B8"/>
    <mergeCell ref="B26:B27"/>
    <mergeCell ref="A1:A6"/>
    <mergeCell ref="B1:B6"/>
    <mergeCell ref="C1:C6"/>
    <mergeCell ref="D3:O3"/>
    <mergeCell ref="M5:O5"/>
    <mergeCell ref="D2:O2"/>
    <mergeCell ref="B41:B44"/>
    <mergeCell ref="B45:B46"/>
    <mergeCell ref="B47:B48"/>
    <mergeCell ref="B36:B37"/>
    <mergeCell ref="BF1:BN1"/>
    <mergeCell ref="AT2:BE2"/>
    <mergeCell ref="BF2:BN2"/>
    <mergeCell ref="AT3:AV3"/>
    <mergeCell ref="AW3:BE3"/>
    <mergeCell ref="BF3:BH5"/>
    <mergeCell ref="BI3:BK4"/>
    <mergeCell ref="BL3:BN4"/>
    <mergeCell ref="AT4:AV5"/>
    <mergeCell ref="AW4:AY5"/>
    <mergeCell ref="AZ4:BE4"/>
    <mergeCell ref="AZ5:BB5"/>
    <mergeCell ref="BC5:BE5"/>
    <mergeCell ref="BI5:BK5"/>
    <mergeCell ref="BL5:BN5"/>
    <mergeCell ref="AT1:BE1"/>
    <mergeCell ref="BO1:BZ1"/>
    <mergeCell ref="CA1:CI1"/>
    <mergeCell ref="BO2:BZ2"/>
    <mergeCell ref="CA2:CI2"/>
    <mergeCell ref="BO3:BQ3"/>
    <mergeCell ref="BR3:BZ3"/>
    <mergeCell ref="CA3:CC5"/>
    <mergeCell ref="CD3:CF4"/>
    <mergeCell ref="CG3:CI4"/>
    <mergeCell ref="BO4:BQ5"/>
    <mergeCell ref="BR4:BT5"/>
    <mergeCell ref="BU4:BZ4"/>
    <mergeCell ref="BU5:BW5"/>
    <mergeCell ref="BX5:BZ5"/>
    <mergeCell ref="CD5:CF5"/>
    <mergeCell ref="CG5:CI5"/>
    <mergeCell ref="CJ1:CU1"/>
    <mergeCell ref="CV1:DD1"/>
    <mergeCell ref="CJ2:CU2"/>
    <mergeCell ref="CV2:DD2"/>
    <mergeCell ref="CJ3:CL3"/>
    <mergeCell ref="CM3:CU3"/>
    <mergeCell ref="CV3:CX5"/>
    <mergeCell ref="CY3:DA4"/>
    <mergeCell ref="DB3:DD4"/>
    <mergeCell ref="CJ4:CL5"/>
    <mergeCell ref="CM4:CO5"/>
    <mergeCell ref="CP4:CU4"/>
    <mergeCell ref="CP5:CR5"/>
    <mergeCell ref="CS5:CU5"/>
    <mergeCell ref="CY5:DA5"/>
    <mergeCell ref="DB5:DD5"/>
  </mergeCells>
  <conditionalFormatting sqref="G53:DD93">
    <cfRule type="cellIs" dxfId="2" priority="1" operator="equal">
      <formula>FALSE</formula>
    </cfRule>
  </conditionalFormatting>
  <pageMargins left="0.70866141732283505" right="0.70866141732283505" top="0.74803149606299202" bottom="0.74803149606299202" header="0.31496062992126" footer="0.31496062992126"/>
  <pageSetup paperSize="9" scale="51" firstPageNumber="35" orientation="landscape" useFirstPageNumber="1" r:id="rId1"/>
  <headerFooter>
    <oddFooter>Page &amp;P</oddFooter>
  </headerFooter>
  <rowBreaks count="1" manualBreakCount="1">
    <brk id="27" max="107" man="1"/>
  </rowBreaks>
  <colBreaks count="9" manualBreakCount="9">
    <brk id="15" max="51" man="1"/>
    <brk id="24" max="51" man="1"/>
    <brk id="36" max="51" man="1"/>
    <brk id="45" max="51" man="1"/>
    <brk id="57" max="51" man="1"/>
    <brk id="66" max="51" man="1"/>
    <brk id="78" max="51" man="1"/>
    <brk id="87" max="51" man="1"/>
    <brk id="99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D94"/>
  <sheetViews>
    <sheetView view="pageBreakPreview" zoomScale="70" zoomScaleSheetLayoutView="70" workbookViewId="0">
      <pane xSplit="3" ySplit="6" topLeftCell="CO33" activePane="bottomRight" state="frozen"/>
      <selection pane="topRight" activeCell="C1" sqref="C1"/>
      <selection pane="bottomLeft" activeCell="A7" sqref="A7"/>
      <selection pane="bottomRight" activeCell="D7" sqref="D7:DD49"/>
    </sheetView>
  </sheetViews>
  <sheetFormatPr defaultRowHeight="15" x14ac:dyDescent="0.25"/>
  <cols>
    <col min="2" max="2" width="15.140625" customWidth="1"/>
    <col min="3" max="3" width="41.5703125" customWidth="1"/>
    <col min="4" max="15" width="15.140625" customWidth="1"/>
    <col min="16" max="24" width="20.28515625" customWidth="1"/>
    <col min="25" max="36" width="15" customWidth="1"/>
    <col min="37" max="45" width="20.28515625" customWidth="1"/>
    <col min="46" max="57" width="15.140625" customWidth="1"/>
    <col min="58" max="66" width="20" customWidth="1"/>
    <col min="67" max="78" width="15" customWidth="1"/>
    <col min="79" max="87" width="20.140625" customWidth="1"/>
    <col min="88" max="99" width="15.140625" customWidth="1"/>
    <col min="100" max="108" width="20" customWidth="1"/>
  </cols>
  <sheetData>
    <row r="1" spans="1:108" s="419" customFormat="1" ht="18" customHeight="1" x14ac:dyDescent="0.25">
      <c r="A1" s="496" t="s">
        <v>401</v>
      </c>
      <c r="B1" s="496" t="s">
        <v>356</v>
      </c>
      <c r="C1" s="496" t="s">
        <v>42</v>
      </c>
      <c r="D1" s="479" t="s">
        <v>389</v>
      </c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 t="s">
        <v>389</v>
      </c>
      <c r="Q1" s="479"/>
      <c r="R1" s="479"/>
      <c r="S1" s="479"/>
      <c r="T1" s="479"/>
      <c r="U1" s="479"/>
      <c r="V1" s="479"/>
      <c r="W1" s="479"/>
      <c r="X1" s="479"/>
      <c r="Y1" s="479" t="s">
        <v>389</v>
      </c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 t="s">
        <v>389</v>
      </c>
      <c r="AL1" s="479"/>
      <c r="AM1" s="479"/>
      <c r="AN1" s="479"/>
      <c r="AO1" s="479"/>
      <c r="AP1" s="479"/>
      <c r="AQ1" s="479"/>
      <c r="AR1" s="479"/>
      <c r="AS1" s="479"/>
      <c r="AT1" s="479" t="s">
        <v>389</v>
      </c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 t="s">
        <v>389</v>
      </c>
      <c r="BG1" s="479"/>
      <c r="BH1" s="479"/>
      <c r="BI1" s="479"/>
      <c r="BJ1" s="479"/>
      <c r="BK1" s="479"/>
      <c r="BL1" s="479"/>
      <c r="BM1" s="479"/>
      <c r="BN1" s="479"/>
      <c r="BO1" s="479" t="s">
        <v>389</v>
      </c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 t="s">
        <v>389</v>
      </c>
      <c r="CB1" s="479"/>
      <c r="CC1" s="479"/>
      <c r="CD1" s="479"/>
      <c r="CE1" s="479"/>
      <c r="CF1" s="479"/>
      <c r="CG1" s="479"/>
      <c r="CH1" s="479"/>
      <c r="CI1" s="479"/>
      <c r="CJ1" s="479" t="s">
        <v>389</v>
      </c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 t="s">
        <v>389</v>
      </c>
      <c r="CW1" s="479"/>
      <c r="CX1" s="479"/>
      <c r="CY1" s="479"/>
      <c r="CZ1" s="479"/>
      <c r="DA1" s="479"/>
      <c r="DB1" s="479"/>
      <c r="DC1" s="479"/>
      <c r="DD1" s="479"/>
    </row>
    <row r="2" spans="1:108" s="419" customFormat="1" ht="35.25" customHeight="1" x14ac:dyDescent="0.25">
      <c r="A2" s="496"/>
      <c r="B2" s="496"/>
      <c r="C2" s="496"/>
      <c r="D2" s="480" t="s">
        <v>423</v>
      </c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 t="s">
        <v>424</v>
      </c>
      <c r="Q2" s="480"/>
      <c r="R2" s="480"/>
      <c r="S2" s="480"/>
      <c r="T2" s="480"/>
      <c r="U2" s="480"/>
      <c r="V2" s="480"/>
      <c r="W2" s="480"/>
      <c r="X2" s="480"/>
      <c r="Y2" s="480" t="s">
        <v>425</v>
      </c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 t="s">
        <v>426</v>
      </c>
      <c r="AL2" s="480"/>
      <c r="AM2" s="480"/>
      <c r="AN2" s="480"/>
      <c r="AO2" s="480"/>
      <c r="AP2" s="480"/>
      <c r="AQ2" s="480"/>
      <c r="AR2" s="480"/>
      <c r="AS2" s="480"/>
      <c r="AT2" s="480" t="s">
        <v>427</v>
      </c>
      <c r="AU2" s="480"/>
      <c r="AV2" s="480"/>
      <c r="AW2" s="480"/>
      <c r="AX2" s="480"/>
      <c r="AY2" s="480"/>
      <c r="AZ2" s="480"/>
      <c r="BA2" s="480"/>
      <c r="BB2" s="480"/>
      <c r="BC2" s="480"/>
      <c r="BD2" s="480"/>
      <c r="BE2" s="480"/>
      <c r="BF2" s="480" t="s">
        <v>428</v>
      </c>
      <c r="BG2" s="480"/>
      <c r="BH2" s="480"/>
      <c r="BI2" s="480"/>
      <c r="BJ2" s="480"/>
      <c r="BK2" s="480"/>
      <c r="BL2" s="480"/>
      <c r="BM2" s="480"/>
      <c r="BN2" s="480"/>
      <c r="BO2" s="480" t="s">
        <v>429</v>
      </c>
      <c r="BP2" s="480"/>
      <c r="BQ2" s="480"/>
      <c r="BR2" s="480"/>
      <c r="BS2" s="480"/>
      <c r="BT2" s="480"/>
      <c r="BU2" s="480"/>
      <c r="BV2" s="480"/>
      <c r="BW2" s="480"/>
      <c r="BX2" s="480"/>
      <c r="BY2" s="480"/>
      <c r="BZ2" s="480"/>
      <c r="CA2" s="480" t="s">
        <v>430</v>
      </c>
      <c r="CB2" s="480"/>
      <c r="CC2" s="480"/>
      <c r="CD2" s="480"/>
      <c r="CE2" s="480"/>
      <c r="CF2" s="480"/>
      <c r="CG2" s="480"/>
      <c r="CH2" s="480"/>
      <c r="CI2" s="480"/>
      <c r="CJ2" s="480" t="s">
        <v>431</v>
      </c>
      <c r="CK2" s="480"/>
      <c r="CL2" s="480"/>
      <c r="CM2" s="480"/>
      <c r="CN2" s="480"/>
      <c r="CO2" s="480"/>
      <c r="CP2" s="480"/>
      <c r="CQ2" s="480"/>
      <c r="CR2" s="480"/>
      <c r="CS2" s="480"/>
      <c r="CT2" s="480"/>
      <c r="CU2" s="480"/>
      <c r="CV2" s="480" t="s">
        <v>432</v>
      </c>
      <c r="CW2" s="480"/>
      <c r="CX2" s="480"/>
      <c r="CY2" s="480"/>
      <c r="CZ2" s="480"/>
      <c r="DA2" s="480"/>
      <c r="DB2" s="480"/>
      <c r="DC2" s="480"/>
      <c r="DD2" s="480"/>
    </row>
    <row r="3" spans="1:108" s="419" customFormat="1" ht="15" customHeight="1" x14ac:dyDescent="0.25">
      <c r="A3" s="496"/>
      <c r="B3" s="496"/>
      <c r="C3" s="496"/>
      <c r="D3" s="497" t="s">
        <v>188</v>
      </c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8" t="s">
        <v>193</v>
      </c>
      <c r="Q3" s="498"/>
      <c r="R3" s="498"/>
      <c r="S3" s="498" t="s">
        <v>194</v>
      </c>
      <c r="T3" s="498"/>
      <c r="U3" s="498"/>
      <c r="V3" s="498" t="s">
        <v>195</v>
      </c>
      <c r="W3" s="498"/>
      <c r="X3" s="498"/>
      <c r="Y3" s="497" t="s">
        <v>188</v>
      </c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8" t="s">
        <v>193</v>
      </c>
      <c r="AL3" s="498"/>
      <c r="AM3" s="498"/>
      <c r="AN3" s="498" t="s">
        <v>194</v>
      </c>
      <c r="AO3" s="498"/>
      <c r="AP3" s="498"/>
      <c r="AQ3" s="498" t="s">
        <v>195</v>
      </c>
      <c r="AR3" s="498"/>
      <c r="AS3" s="498"/>
      <c r="AT3" s="496"/>
      <c r="AU3" s="496"/>
      <c r="AV3" s="496"/>
      <c r="AW3" s="497" t="s">
        <v>188</v>
      </c>
      <c r="AX3" s="497"/>
      <c r="AY3" s="497"/>
      <c r="AZ3" s="497"/>
      <c r="BA3" s="497"/>
      <c r="BB3" s="497"/>
      <c r="BC3" s="497"/>
      <c r="BD3" s="497"/>
      <c r="BE3" s="497"/>
      <c r="BF3" s="498" t="s">
        <v>193</v>
      </c>
      <c r="BG3" s="498"/>
      <c r="BH3" s="498"/>
      <c r="BI3" s="498" t="s">
        <v>194</v>
      </c>
      <c r="BJ3" s="498"/>
      <c r="BK3" s="498"/>
      <c r="BL3" s="498" t="s">
        <v>195</v>
      </c>
      <c r="BM3" s="498"/>
      <c r="BN3" s="498"/>
      <c r="BO3" s="496"/>
      <c r="BP3" s="496"/>
      <c r="BQ3" s="496"/>
      <c r="BR3" s="497" t="s">
        <v>188</v>
      </c>
      <c r="BS3" s="497"/>
      <c r="BT3" s="497"/>
      <c r="BU3" s="497"/>
      <c r="BV3" s="497"/>
      <c r="BW3" s="497"/>
      <c r="BX3" s="497"/>
      <c r="BY3" s="497"/>
      <c r="BZ3" s="497"/>
      <c r="CA3" s="498" t="s">
        <v>193</v>
      </c>
      <c r="CB3" s="498"/>
      <c r="CC3" s="498"/>
      <c r="CD3" s="498" t="s">
        <v>194</v>
      </c>
      <c r="CE3" s="498"/>
      <c r="CF3" s="498"/>
      <c r="CG3" s="498" t="s">
        <v>195</v>
      </c>
      <c r="CH3" s="498"/>
      <c r="CI3" s="498"/>
      <c r="CJ3" s="496"/>
      <c r="CK3" s="496"/>
      <c r="CL3" s="496"/>
      <c r="CM3" s="497" t="s">
        <v>188</v>
      </c>
      <c r="CN3" s="497"/>
      <c r="CO3" s="497"/>
      <c r="CP3" s="497"/>
      <c r="CQ3" s="497"/>
      <c r="CR3" s="497"/>
      <c r="CS3" s="497"/>
      <c r="CT3" s="497"/>
      <c r="CU3" s="497"/>
      <c r="CV3" s="498" t="s">
        <v>193</v>
      </c>
      <c r="CW3" s="498"/>
      <c r="CX3" s="498"/>
      <c r="CY3" s="498" t="s">
        <v>194</v>
      </c>
      <c r="CZ3" s="498"/>
      <c r="DA3" s="498"/>
      <c r="DB3" s="498" t="s">
        <v>195</v>
      </c>
      <c r="DC3" s="498"/>
      <c r="DD3" s="498"/>
    </row>
    <row r="4" spans="1:108" s="419" customFormat="1" ht="15" customHeight="1" x14ac:dyDescent="0.25">
      <c r="A4" s="496"/>
      <c r="B4" s="496"/>
      <c r="C4" s="496"/>
      <c r="D4" s="496" t="s">
        <v>442</v>
      </c>
      <c r="E4" s="496"/>
      <c r="F4" s="496"/>
      <c r="G4" s="499" t="s">
        <v>391</v>
      </c>
      <c r="H4" s="499"/>
      <c r="I4" s="499"/>
      <c r="J4" s="497" t="s">
        <v>6</v>
      </c>
      <c r="K4" s="497"/>
      <c r="L4" s="497"/>
      <c r="M4" s="497"/>
      <c r="N4" s="497"/>
      <c r="O4" s="497"/>
      <c r="P4" s="498"/>
      <c r="Q4" s="498"/>
      <c r="R4" s="498"/>
      <c r="S4" s="498"/>
      <c r="T4" s="498"/>
      <c r="U4" s="498"/>
      <c r="V4" s="498"/>
      <c r="W4" s="498"/>
      <c r="X4" s="498"/>
      <c r="Y4" s="496" t="s">
        <v>443</v>
      </c>
      <c r="Z4" s="496"/>
      <c r="AA4" s="496"/>
      <c r="AB4" s="499" t="s">
        <v>392</v>
      </c>
      <c r="AC4" s="499"/>
      <c r="AD4" s="499"/>
      <c r="AE4" s="497" t="s">
        <v>6</v>
      </c>
      <c r="AF4" s="497"/>
      <c r="AG4" s="497"/>
      <c r="AH4" s="499" t="s">
        <v>397</v>
      </c>
      <c r="AI4" s="499"/>
      <c r="AJ4" s="499"/>
      <c r="AK4" s="498"/>
      <c r="AL4" s="498"/>
      <c r="AM4" s="498"/>
      <c r="AN4" s="498"/>
      <c r="AO4" s="498"/>
      <c r="AP4" s="498"/>
      <c r="AQ4" s="498"/>
      <c r="AR4" s="498"/>
      <c r="AS4" s="498"/>
      <c r="AT4" s="496" t="s">
        <v>442</v>
      </c>
      <c r="AU4" s="496"/>
      <c r="AV4" s="496"/>
      <c r="AW4" s="499" t="s">
        <v>391</v>
      </c>
      <c r="AX4" s="499"/>
      <c r="AY4" s="499"/>
      <c r="AZ4" s="497" t="s">
        <v>6</v>
      </c>
      <c r="BA4" s="497"/>
      <c r="BB4" s="497"/>
      <c r="BC4" s="497"/>
      <c r="BD4" s="497"/>
      <c r="BE4" s="497"/>
      <c r="BF4" s="498"/>
      <c r="BG4" s="498"/>
      <c r="BH4" s="498"/>
      <c r="BI4" s="498"/>
      <c r="BJ4" s="498"/>
      <c r="BK4" s="498"/>
      <c r="BL4" s="498"/>
      <c r="BM4" s="498"/>
      <c r="BN4" s="498"/>
      <c r="BO4" s="496" t="s">
        <v>443</v>
      </c>
      <c r="BP4" s="496"/>
      <c r="BQ4" s="496"/>
      <c r="BR4" s="499" t="s">
        <v>391</v>
      </c>
      <c r="BS4" s="499"/>
      <c r="BT4" s="499"/>
      <c r="BU4" s="497" t="s">
        <v>6</v>
      </c>
      <c r="BV4" s="497"/>
      <c r="BW4" s="497"/>
      <c r="BX4" s="497"/>
      <c r="BY4" s="497"/>
      <c r="BZ4" s="497"/>
      <c r="CA4" s="498"/>
      <c r="CB4" s="498"/>
      <c r="CC4" s="498"/>
      <c r="CD4" s="498"/>
      <c r="CE4" s="498"/>
      <c r="CF4" s="498"/>
      <c r="CG4" s="498"/>
      <c r="CH4" s="498"/>
      <c r="CI4" s="498"/>
      <c r="CJ4" s="496" t="s">
        <v>442</v>
      </c>
      <c r="CK4" s="496"/>
      <c r="CL4" s="496"/>
      <c r="CM4" s="499" t="s">
        <v>391</v>
      </c>
      <c r="CN4" s="499"/>
      <c r="CO4" s="499"/>
      <c r="CP4" s="497" t="s">
        <v>6</v>
      </c>
      <c r="CQ4" s="497"/>
      <c r="CR4" s="497"/>
      <c r="CS4" s="497"/>
      <c r="CT4" s="497"/>
      <c r="CU4" s="497"/>
      <c r="CV4" s="498"/>
      <c r="CW4" s="498"/>
      <c r="CX4" s="498"/>
      <c r="CY4" s="498"/>
      <c r="CZ4" s="498"/>
      <c r="DA4" s="498"/>
      <c r="DB4" s="498"/>
      <c r="DC4" s="498"/>
      <c r="DD4" s="498"/>
    </row>
    <row r="5" spans="1:108" s="419" customFormat="1" ht="45.75" customHeight="1" x14ac:dyDescent="0.25">
      <c r="A5" s="496"/>
      <c r="B5" s="496"/>
      <c r="C5" s="496"/>
      <c r="D5" s="496"/>
      <c r="E5" s="496"/>
      <c r="F5" s="496"/>
      <c r="G5" s="499"/>
      <c r="H5" s="499"/>
      <c r="I5" s="499"/>
      <c r="J5" s="499" t="s">
        <v>390</v>
      </c>
      <c r="K5" s="499"/>
      <c r="L5" s="499"/>
      <c r="M5" s="499" t="s">
        <v>397</v>
      </c>
      <c r="N5" s="499"/>
      <c r="O5" s="499"/>
      <c r="P5" s="498"/>
      <c r="Q5" s="498"/>
      <c r="R5" s="498"/>
      <c r="S5" s="498" t="s">
        <v>196</v>
      </c>
      <c r="T5" s="498"/>
      <c r="U5" s="498"/>
      <c r="V5" s="498" t="s">
        <v>196</v>
      </c>
      <c r="W5" s="498"/>
      <c r="X5" s="498"/>
      <c r="Y5" s="496"/>
      <c r="Z5" s="496"/>
      <c r="AA5" s="496"/>
      <c r="AB5" s="499"/>
      <c r="AC5" s="499"/>
      <c r="AD5" s="499"/>
      <c r="AE5" s="499" t="s">
        <v>390</v>
      </c>
      <c r="AF5" s="499"/>
      <c r="AG5" s="499"/>
      <c r="AH5" s="499"/>
      <c r="AI5" s="499"/>
      <c r="AJ5" s="499"/>
      <c r="AK5" s="498"/>
      <c r="AL5" s="498"/>
      <c r="AM5" s="498"/>
      <c r="AN5" s="498" t="s">
        <v>196</v>
      </c>
      <c r="AO5" s="498"/>
      <c r="AP5" s="498"/>
      <c r="AQ5" s="498" t="s">
        <v>196</v>
      </c>
      <c r="AR5" s="498"/>
      <c r="AS5" s="498"/>
      <c r="AT5" s="496"/>
      <c r="AU5" s="496"/>
      <c r="AV5" s="496"/>
      <c r="AW5" s="499"/>
      <c r="AX5" s="499"/>
      <c r="AY5" s="499"/>
      <c r="AZ5" s="499" t="s">
        <v>390</v>
      </c>
      <c r="BA5" s="499"/>
      <c r="BB5" s="499"/>
      <c r="BC5" s="499" t="s">
        <v>397</v>
      </c>
      <c r="BD5" s="499"/>
      <c r="BE5" s="499"/>
      <c r="BF5" s="498"/>
      <c r="BG5" s="498"/>
      <c r="BH5" s="498"/>
      <c r="BI5" s="498" t="s">
        <v>196</v>
      </c>
      <c r="BJ5" s="498"/>
      <c r="BK5" s="498"/>
      <c r="BL5" s="498" t="s">
        <v>196</v>
      </c>
      <c r="BM5" s="498"/>
      <c r="BN5" s="498"/>
      <c r="BO5" s="496"/>
      <c r="BP5" s="496"/>
      <c r="BQ5" s="496"/>
      <c r="BR5" s="499"/>
      <c r="BS5" s="499"/>
      <c r="BT5" s="499"/>
      <c r="BU5" s="499" t="s">
        <v>390</v>
      </c>
      <c r="BV5" s="499"/>
      <c r="BW5" s="499"/>
      <c r="BX5" s="499" t="s">
        <v>397</v>
      </c>
      <c r="BY5" s="499"/>
      <c r="BZ5" s="499"/>
      <c r="CA5" s="498"/>
      <c r="CB5" s="498"/>
      <c r="CC5" s="498"/>
      <c r="CD5" s="498" t="s">
        <v>196</v>
      </c>
      <c r="CE5" s="498"/>
      <c r="CF5" s="498"/>
      <c r="CG5" s="498" t="s">
        <v>196</v>
      </c>
      <c r="CH5" s="498"/>
      <c r="CI5" s="498"/>
      <c r="CJ5" s="496"/>
      <c r="CK5" s="496"/>
      <c r="CL5" s="496"/>
      <c r="CM5" s="499"/>
      <c r="CN5" s="499"/>
      <c r="CO5" s="499"/>
      <c r="CP5" s="499" t="s">
        <v>390</v>
      </c>
      <c r="CQ5" s="499"/>
      <c r="CR5" s="499"/>
      <c r="CS5" s="499" t="s">
        <v>397</v>
      </c>
      <c r="CT5" s="499"/>
      <c r="CU5" s="499"/>
      <c r="CV5" s="498"/>
      <c r="CW5" s="498"/>
      <c r="CX5" s="498"/>
      <c r="CY5" s="498" t="s">
        <v>196</v>
      </c>
      <c r="CZ5" s="498"/>
      <c r="DA5" s="498"/>
      <c r="DB5" s="498" t="s">
        <v>196</v>
      </c>
      <c r="DC5" s="498"/>
      <c r="DD5" s="498"/>
    </row>
    <row r="6" spans="1:108" s="419" customFormat="1" x14ac:dyDescent="0.25">
      <c r="A6" s="496"/>
      <c r="B6" s="496"/>
      <c r="C6" s="496"/>
      <c r="D6" s="422" t="s">
        <v>43</v>
      </c>
      <c r="E6" s="422" t="s">
        <v>44</v>
      </c>
      <c r="F6" s="422" t="s">
        <v>3</v>
      </c>
      <c r="G6" s="422" t="s">
        <v>43</v>
      </c>
      <c r="H6" s="422" t="s">
        <v>44</v>
      </c>
      <c r="I6" s="422" t="s">
        <v>3</v>
      </c>
      <c r="J6" s="422" t="s">
        <v>43</v>
      </c>
      <c r="K6" s="422" t="s">
        <v>44</v>
      </c>
      <c r="L6" s="422" t="s">
        <v>3</v>
      </c>
      <c r="M6" s="422" t="s">
        <v>43</v>
      </c>
      <c r="N6" s="422" t="s">
        <v>44</v>
      </c>
      <c r="O6" s="422" t="s">
        <v>3</v>
      </c>
      <c r="P6" s="420" t="s">
        <v>43</v>
      </c>
      <c r="Q6" s="420" t="s">
        <v>44</v>
      </c>
      <c r="R6" s="420" t="s">
        <v>3</v>
      </c>
      <c r="S6" s="420" t="s">
        <v>43</v>
      </c>
      <c r="T6" s="420" t="s">
        <v>44</v>
      </c>
      <c r="U6" s="420" t="s">
        <v>3</v>
      </c>
      <c r="V6" s="420" t="s">
        <v>43</v>
      </c>
      <c r="W6" s="420" t="s">
        <v>44</v>
      </c>
      <c r="X6" s="420" t="s">
        <v>3</v>
      </c>
      <c r="Y6" s="422" t="s">
        <v>43</v>
      </c>
      <c r="Z6" s="422" t="s">
        <v>44</v>
      </c>
      <c r="AA6" s="422" t="s">
        <v>3</v>
      </c>
      <c r="AB6" s="422" t="s">
        <v>43</v>
      </c>
      <c r="AC6" s="422" t="s">
        <v>44</v>
      </c>
      <c r="AD6" s="422" t="s">
        <v>3</v>
      </c>
      <c r="AE6" s="422" t="s">
        <v>43</v>
      </c>
      <c r="AF6" s="422" t="s">
        <v>44</v>
      </c>
      <c r="AG6" s="422" t="s">
        <v>3</v>
      </c>
      <c r="AH6" s="422" t="s">
        <v>43</v>
      </c>
      <c r="AI6" s="422" t="s">
        <v>44</v>
      </c>
      <c r="AJ6" s="422" t="s">
        <v>3</v>
      </c>
      <c r="AK6" s="420" t="s">
        <v>43</v>
      </c>
      <c r="AL6" s="420" t="s">
        <v>44</v>
      </c>
      <c r="AM6" s="420" t="s">
        <v>3</v>
      </c>
      <c r="AN6" s="420" t="s">
        <v>43</v>
      </c>
      <c r="AO6" s="420" t="s">
        <v>44</v>
      </c>
      <c r="AP6" s="420" t="s">
        <v>3</v>
      </c>
      <c r="AQ6" s="420" t="s">
        <v>43</v>
      </c>
      <c r="AR6" s="420" t="s">
        <v>44</v>
      </c>
      <c r="AS6" s="420" t="s">
        <v>3</v>
      </c>
      <c r="AT6" s="422" t="s">
        <v>43</v>
      </c>
      <c r="AU6" s="422" t="s">
        <v>44</v>
      </c>
      <c r="AV6" s="422" t="s">
        <v>3</v>
      </c>
      <c r="AW6" s="422" t="s">
        <v>43</v>
      </c>
      <c r="AX6" s="422" t="s">
        <v>44</v>
      </c>
      <c r="AY6" s="422" t="s">
        <v>3</v>
      </c>
      <c r="AZ6" s="422" t="s">
        <v>43</v>
      </c>
      <c r="BA6" s="422" t="s">
        <v>44</v>
      </c>
      <c r="BB6" s="422" t="s">
        <v>3</v>
      </c>
      <c r="BC6" s="422" t="s">
        <v>43</v>
      </c>
      <c r="BD6" s="422" t="s">
        <v>44</v>
      </c>
      <c r="BE6" s="422" t="s">
        <v>3</v>
      </c>
      <c r="BF6" s="420" t="s">
        <v>43</v>
      </c>
      <c r="BG6" s="420" t="s">
        <v>44</v>
      </c>
      <c r="BH6" s="420" t="s">
        <v>3</v>
      </c>
      <c r="BI6" s="420" t="s">
        <v>43</v>
      </c>
      <c r="BJ6" s="420" t="s">
        <v>44</v>
      </c>
      <c r="BK6" s="420" t="s">
        <v>3</v>
      </c>
      <c r="BL6" s="420" t="s">
        <v>43</v>
      </c>
      <c r="BM6" s="420" t="s">
        <v>44</v>
      </c>
      <c r="BN6" s="420" t="s">
        <v>3</v>
      </c>
      <c r="BO6" s="422" t="s">
        <v>43</v>
      </c>
      <c r="BP6" s="422" t="s">
        <v>44</v>
      </c>
      <c r="BQ6" s="422" t="s">
        <v>3</v>
      </c>
      <c r="BR6" s="422" t="s">
        <v>43</v>
      </c>
      <c r="BS6" s="422" t="s">
        <v>44</v>
      </c>
      <c r="BT6" s="422" t="s">
        <v>3</v>
      </c>
      <c r="BU6" s="422" t="s">
        <v>43</v>
      </c>
      <c r="BV6" s="422" t="s">
        <v>44</v>
      </c>
      <c r="BW6" s="422" t="s">
        <v>3</v>
      </c>
      <c r="BX6" s="422" t="s">
        <v>43</v>
      </c>
      <c r="BY6" s="422" t="s">
        <v>44</v>
      </c>
      <c r="BZ6" s="422" t="s">
        <v>3</v>
      </c>
      <c r="CA6" s="420" t="s">
        <v>43</v>
      </c>
      <c r="CB6" s="420" t="s">
        <v>44</v>
      </c>
      <c r="CC6" s="420" t="s">
        <v>3</v>
      </c>
      <c r="CD6" s="420" t="s">
        <v>43</v>
      </c>
      <c r="CE6" s="420" t="s">
        <v>44</v>
      </c>
      <c r="CF6" s="420" t="s">
        <v>3</v>
      </c>
      <c r="CG6" s="420" t="s">
        <v>43</v>
      </c>
      <c r="CH6" s="420" t="s">
        <v>44</v>
      </c>
      <c r="CI6" s="420" t="s">
        <v>3</v>
      </c>
      <c r="CJ6" s="422" t="s">
        <v>43</v>
      </c>
      <c r="CK6" s="422" t="s">
        <v>44</v>
      </c>
      <c r="CL6" s="422" t="s">
        <v>3</v>
      </c>
      <c r="CM6" s="422" t="s">
        <v>43</v>
      </c>
      <c r="CN6" s="422" t="s">
        <v>44</v>
      </c>
      <c r="CO6" s="422" t="s">
        <v>3</v>
      </c>
      <c r="CP6" s="422" t="s">
        <v>43</v>
      </c>
      <c r="CQ6" s="422" t="s">
        <v>44</v>
      </c>
      <c r="CR6" s="422" t="s">
        <v>3</v>
      </c>
      <c r="CS6" s="422" t="s">
        <v>43</v>
      </c>
      <c r="CT6" s="422" t="s">
        <v>44</v>
      </c>
      <c r="CU6" s="422" t="s">
        <v>3</v>
      </c>
      <c r="CV6" s="420" t="s">
        <v>43</v>
      </c>
      <c r="CW6" s="420" t="s">
        <v>44</v>
      </c>
      <c r="CX6" s="420" t="s">
        <v>3</v>
      </c>
      <c r="CY6" s="420" t="s">
        <v>43</v>
      </c>
      <c r="CZ6" s="420" t="s">
        <v>44</v>
      </c>
      <c r="DA6" s="420" t="s">
        <v>3</v>
      </c>
      <c r="DB6" s="420" t="s">
        <v>43</v>
      </c>
      <c r="DC6" s="420" t="s">
        <v>44</v>
      </c>
      <c r="DD6" s="420" t="s">
        <v>3</v>
      </c>
    </row>
    <row r="7" spans="1:108" ht="35.25" customHeight="1" x14ac:dyDescent="0.25">
      <c r="A7" s="423">
        <v>1</v>
      </c>
      <c r="B7" s="486" t="s">
        <v>357</v>
      </c>
      <c r="C7" s="401" t="s">
        <v>143</v>
      </c>
      <c r="D7" s="403">
        <v>109681</v>
      </c>
      <c r="E7" s="403">
        <v>82063</v>
      </c>
      <c r="F7" s="403">
        <v>191744</v>
      </c>
      <c r="G7" s="403">
        <v>108759</v>
      </c>
      <c r="H7" s="403">
        <v>81571</v>
      </c>
      <c r="I7" s="403">
        <v>190330</v>
      </c>
      <c r="J7" s="403">
        <v>98836</v>
      </c>
      <c r="K7" s="403">
        <v>75826</v>
      </c>
      <c r="L7" s="403">
        <v>174662</v>
      </c>
      <c r="M7" s="396">
        <v>0.9087615737548157</v>
      </c>
      <c r="N7" s="396">
        <v>0.92957055816405343</v>
      </c>
      <c r="O7" s="396">
        <v>0.91767981926128306</v>
      </c>
      <c r="P7" s="403">
        <v>98836</v>
      </c>
      <c r="Q7" s="403">
        <v>75826</v>
      </c>
      <c r="R7" s="403">
        <v>174662</v>
      </c>
      <c r="S7" s="403">
        <v>57228</v>
      </c>
      <c r="T7" s="403">
        <v>49974</v>
      </c>
      <c r="U7" s="403">
        <v>107202</v>
      </c>
      <c r="V7" s="396">
        <v>0.5790197903597879</v>
      </c>
      <c r="W7" s="396">
        <v>0.65906153562102709</v>
      </c>
      <c r="X7" s="396">
        <v>0.61376830678682259</v>
      </c>
      <c r="Y7" s="403">
        <v>21055</v>
      </c>
      <c r="Z7" s="403">
        <v>20942</v>
      </c>
      <c r="AA7" s="403">
        <v>41997</v>
      </c>
      <c r="AB7" s="403">
        <v>20836</v>
      </c>
      <c r="AC7" s="403">
        <v>20784</v>
      </c>
      <c r="AD7" s="403">
        <v>41620</v>
      </c>
      <c r="AE7" s="403">
        <v>16166</v>
      </c>
      <c r="AF7" s="403">
        <v>17654</v>
      </c>
      <c r="AG7" s="403">
        <v>33820</v>
      </c>
      <c r="AH7" s="396">
        <v>0.77586868880783255</v>
      </c>
      <c r="AI7" s="396">
        <v>0.84940338722093922</v>
      </c>
      <c r="AJ7" s="396">
        <v>0.81259010091302264</v>
      </c>
      <c r="AK7" s="403">
        <v>16166</v>
      </c>
      <c r="AL7" s="403">
        <v>17654</v>
      </c>
      <c r="AM7" s="403">
        <v>33820</v>
      </c>
      <c r="AN7" s="403">
        <v>4845</v>
      </c>
      <c r="AO7" s="403">
        <v>6883</v>
      </c>
      <c r="AP7" s="403">
        <v>11728</v>
      </c>
      <c r="AQ7" s="396">
        <v>0.2997030805394037</v>
      </c>
      <c r="AR7" s="396">
        <v>0.38988331256372494</v>
      </c>
      <c r="AS7" s="396">
        <v>0.34677705499704314</v>
      </c>
      <c r="AT7" s="387">
        <v>1852</v>
      </c>
      <c r="AU7" s="387">
        <v>1907</v>
      </c>
      <c r="AV7" s="387">
        <v>3759</v>
      </c>
      <c r="AW7" s="387">
        <v>1838</v>
      </c>
      <c r="AX7" s="387">
        <v>1896</v>
      </c>
      <c r="AY7" s="387">
        <v>3734</v>
      </c>
      <c r="AZ7" s="387">
        <v>1236</v>
      </c>
      <c r="BA7" s="387">
        <v>1396</v>
      </c>
      <c r="BB7" s="387">
        <v>2632</v>
      </c>
      <c r="BC7" s="396">
        <v>0.67247007616974974</v>
      </c>
      <c r="BD7" s="396">
        <v>0.73628691983122363</v>
      </c>
      <c r="BE7" s="396">
        <v>0.70487412961971074</v>
      </c>
      <c r="BF7" s="387">
        <v>1236</v>
      </c>
      <c r="BG7" s="387">
        <v>1396</v>
      </c>
      <c r="BH7" s="387">
        <v>2632</v>
      </c>
      <c r="BI7" s="387">
        <v>334</v>
      </c>
      <c r="BJ7" s="387">
        <v>593</v>
      </c>
      <c r="BK7" s="387">
        <v>927</v>
      </c>
      <c r="BL7" s="396">
        <v>0.27022653721682849</v>
      </c>
      <c r="BM7" s="396">
        <v>0.42478510028653294</v>
      </c>
      <c r="BN7" s="396">
        <v>0.35220364741641336</v>
      </c>
      <c r="BO7" s="387">
        <v>64914</v>
      </c>
      <c r="BP7" s="387">
        <v>43617</v>
      </c>
      <c r="BQ7" s="387">
        <v>108531</v>
      </c>
      <c r="BR7" s="387">
        <v>64349</v>
      </c>
      <c r="BS7" s="387">
        <v>43364</v>
      </c>
      <c r="BT7" s="387">
        <v>107713</v>
      </c>
      <c r="BU7" s="387">
        <v>60710</v>
      </c>
      <c r="BV7" s="387">
        <v>41779</v>
      </c>
      <c r="BW7" s="387">
        <v>102489</v>
      </c>
      <c r="BX7" s="396">
        <v>0.9434490046465368</v>
      </c>
      <c r="BY7" s="396">
        <v>0.96344894382437041</v>
      </c>
      <c r="BZ7" s="396">
        <v>0.95150074735640078</v>
      </c>
      <c r="CA7" s="387">
        <v>60710</v>
      </c>
      <c r="CB7" s="387">
        <v>41779</v>
      </c>
      <c r="CC7" s="387">
        <v>102489</v>
      </c>
      <c r="CD7" s="387">
        <v>38177</v>
      </c>
      <c r="CE7" s="387">
        <v>31486</v>
      </c>
      <c r="CF7" s="387">
        <v>69663</v>
      </c>
      <c r="CG7" s="396">
        <v>0.62884203590841703</v>
      </c>
      <c r="CH7" s="396">
        <v>0.75363220756839555</v>
      </c>
      <c r="CI7" s="396">
        <v>0.67971196908936571</v>
      </c>
      <c r="CJ7" s="387">
        <v>21860</v>
      </c>
      <c r="CK7" s="387">
        <v>15597</v>
      </c>
      <c r="CL7" s="387">
        <v>37457</v>
      </c>
      <c r="CM7" s="387">
        <v>21736</v>
      </c>
      <c r="CN7" s="387">
        <v>15527</v>
      </c>
      <c r="CO7" s="387">
        <v>37263</v>
      </c>
      <c r="CP7" s="387">
        <v>20724</v>
      </c>
      <c r="CQ7" s="387">
        <v>14997</v>
      </c>
      <c r="CR7" s="387">
        <v>35721</v>
      </c>
      <c r="CS7" s="396">
        <v>0.95344129554655865</v>
      </c>
      <c r="CT7" s="396">
        <v>0.96586591099375285</v>
      </c>
      <c r="CU7" s="396">
        <v>0.95861846872232515</v>
      </c>
      <c r="CV7" s="387">
        <v>20724</v>
      </c>
      <c r="CW7" s="387">
        <v>14997</v>
      </c>
      <c r="CX7" s="387">
        <v>35721</v>
      </c>
      <c r="CY7" s="387">
        <v>13872</v>
      </c>
      <c r="CZ7" s="387">
        <v>11012</v>
      </c>
      <c r="DA7" s="387">
        <v>24884</v>
      </c>
      <c r="DB7" s="396">
        <v>0.66936884771279681</v>
      </c>
      <c r="DC7" s="396">
        <v>0.73428018937120754</v>
      </c>
      <c r="DD7" s="396">
        <v>0.69662103524537389</v>
      </c>
    </row>
    <row r="8" spans="1:108" ht="45" customHeight="1" x14ac:dyDescent="0.25">
      <c r="A8" s="423">
        <v>2</v>
      </c>
      <c r="B8" s="486"/>
      <c r="C8" s="401" t="s">
        <v>215</v>
      </c>
      <c r="D8" s="403">
        <v>7246</v>
      </c>
      <c r="E8" s="403">
        <v>5741</v>
      </c>
      <c r="F8" s="403">
        <v>12987</v>
      </c>
      <c r="G8" s="403">
        <v>7241</v>
      </c>
      <c r="H8" s="403">
        <v>5738</v>
      </c>
      <c r="I8" s="403">
        <v>12979</v>
      </c>
      <c r="J8" s="403">
        <v>7237</v>
      </c>
      <c r="K8" s="403">
        <v>5738</v>
      </c>
      <c r="L8" s="403">
        <v>12975</v>
      </c>
      <c r="M8" s="396">
        <v>0.99944759011186302</v>
      </c>
      <c r="N8" s="396">
        <v>1</v>
      </c>
      <c r="O8" s="396">
        <v>0.99969180984667538</v>
      </c>
      <c r="P8" s="403">
        <v>7237</v>
      </c>
      <c r="Q8" s="403">
        <v>5738</v>
      </c>
      <c r="R8" s="403">
        <v>12975</v>
      </c>
      <c r="S8" s="403">
        <v>6498</v>
      </c>
      <c r="T8" s="403">
        <v>5361</v>
      </c>
      <c r="U8" s="403">
        <v>11859</v>
      </c>
      <c r="V8" s="396">
        <v>0.8978858643084151</v>
      </c>
      <c r="W8" s="396">
        <v>0.93429766469153019</v>
      </c>
      <c r="X8" s="396">
        <v>0.91398843930635842</v>
      </c>
      <c r="Y8" s="403">
        <v>24</v>
      </c>
      <c r="Z8" s="403">
        <v>39</v>
      </c>
      <c r="AA8" s="403">
        <v>63</v>
      </c>
      <c r="AB8" s="403">
        <v>24</v>
      </c>
      <c r="AC8" s="403">
        <v>39</v>
      </c>
      <c r="AD8" s="403">
        <v>63</v>
      </c>
      <c r="AE8" s="403">
        <v>24</v>
      </c>
      <c r="AF8" s="403">
        <v>39</v>
      </c>
      <c r="AG8" s="403">
        <v>63</v>
      </c>
      <c r="AH8" s="396">
        <v>1</v>
      </c>
      <c r="AI8" s="396">
        <v>1</v>
      </c>
      <c r="AJ8" s="396">
        <v>1</v>
      </c>
      <c r="AK8" s="403">
        <v>24</v>
      </c>
      <c r="AL8" s="403">
        <v>39</v>
      </c>
      <c r="AM8" s="403">
        <v>63</v>
      </c>
      <c r="AN8" s="403">
        <v>16</v>
      </c>
      <c r="AO8" s="403">
        <v>31</v>
      </c>
      <c r="AP8" s="403">
        <v>47</v>
      </c>
      <c r="AQ8" s="396">
        <v>0.66666666666666663</v>
      </c>
      <c r="AR8" s="396">
        <v>0.79487179487179482</v>
      </c>
      <c r="AS8" s="396">
        <v>0.74603174603174605</v>
      </c>
      <c r="AT8" s="387">
        <v>10</v>
      </c>
      <c r="AU8" s="387">
        <v>19</v>
      </c>
      <c r="AV8" s="387">
        <v>29</v>
      </c>
      <c r="AW8" s="387">
        <v>10</v>
      </c>
      <c r="AX8" s="387">
        <v>19</v>
      </c>
      <c r="AY8" s="387">
        <v>29</v>
      </c>
      <c r="AZ8" s="387">
        <v>10</v>
      </c>
      <c r="BA8" s="387">
        <v>19</v>
      </c>
      <c r="BB8" s="387">
        <v>29</v>
      </c>
      <c r="BC8" s="396">
        <v>1</v>
      </c>
      <c r="BD8" s="396">
        <v>1</v>
      </c>
      <c r="BE8" s="396">
        <v>1</v>
      </c>
      <c r="BF8" s="387">
        <v>10</v>
      </c>
      <c r="BG8" s="387">
        <v>19</v>
      </c>
      <c r="BH8" s="387">
        <v>29</v>
      </c>
      <c r="BI8" s="387">
        <v>8</v>
      </c>
      <c r="BJ8" s="387">
        <v>17</v>
      </c>
      <c r="BK8" s="387">
        <v>25</v>
      </c>
      <c r="BL8" s="396">
        <v>0.8</v>
      </c>
      <c r="BM8" s="396">
        <v>0.89473684210526316</v>
      </c>
      <c r="BN8" s="396">
        <v>0.86206896551724133</v>
      </c>
      <c r="BO8" s="387">
        <v>7212</v>
      </c>
      <c r="BP8" s="387">
        <v>5683</v>
      </c>
      <c r="BQ8" s="387">
        <v>12895</v>
      </c>
      <c r="BR8" s="387">
        <v>7207</v>
      </c>
      <c r="BS8" s="387">
        <v>5680</v>
      </c>
      <c r="BT8" s="387">
        <v>12887</v>
      </c>
      <c r="BU8" s="387">
        <v>7203</v>
      </c>
      <c r="BV8" s="387">
        <v>5680</v>
      </c>
      <c r="BW8" s="387">
        <v>12883</v>
      </c>
      <c r="BX8" s="396">
        <v>0.9994449840432913</v>
      </c>
      <c r="BY8" s="396">
        <v>1</v>
      </c>
      <c r="BZ8" s="396">
        <v>0.99968960968417786</v>
      </c>
      <c r="CA8" s="387">
        <v>7203</v>
      </c>
      <c r="CB8" s="387">
        <v>5680</v>
      </c>
      <c r="CC8" s="387">
        <v>12883</v>
      </c>
      <c r="CD8" s="387">
        <v>6474</v>
      </c>
      <c r="CE8" s="387">
        <v>5313</v>
      </c>
      <c r="CF8" s="387">
        <v>11787</v>
      </c>
      <c r="CG8" s="396">
        <v>0.89879216992919619</v>
      </c>
      <c r="CH8" s="396">
        <v>0.93538732394366197</v>
      </c>
      <c r="CI8" s="396">
        <v>0.91492664751998753</v>
      </c>
      <c r="CJ8" s="409"/>
      <c r="CK8" s="409"/>
      <c r="CL8" s="409"/>
      <c r="CM8" s="409"/>
      <c r="CN8" s="409"/>
      <c r="CO8" s="409"/>
      <c r="CP8" s="409"/>
      <c r="CQ8" s="409"/>
      <c r="CR8" s="409"/>
      <c r="CS8" s="409"/>
      <c r="CT8" s="409"/>
      <c r="CU8" s="409"/>
      <c r="CV8" s="409"/>
      <c r="CW8" s="409"/>
      <c r="CX8" s="409"/>
      <c r="CY8" s="409"/>
      <c r="CZ8" s="409"/>
      <c r="DA8" s="409"/>
      <c r="DB8" s="409"/>
      <c r="DC8" s="409"/>
      <c r="DD8" s="409"/>
    </row>
    <row r="9" spans="1:108" s="376" customFormat="1" ht="38.25" customHeight="1" x14ac:dyDescent="0.25">
      <c r="A9" s="423">
        <v>3</v>
      </c>
      <c r="B9" s="461" t="s">
        <v>358</v>
      </c>
      <c r="C9" s="401" t="s">
        <v>133</v>
      </c>
      <c r="D9" s="403">
        <v>63448</v>
      </c>
      <c r="E9" s="403">
        <v>61886</v>
      </c>
      <c r="F9" s="403">
        <v>125334</v>
      </c>
      <c r="G9" s="403">
        <v>62860</v>
      </c>
      <c r="H9" s="403">
        <v>61349</v>
      </c>
      <c r="I9" s="403">
        <v>124209</v>
      </c>
      <c r="J9" s="403">
        <v>49801</v>
      </c>
      <c r="K9" s="403">
        <v>53180</v>
      </c>
      <c r="L9" s="403">
        <v>102981</v>
      </c>
      <c r="M9" s="396">
        <v>0.79225262488068726</v>
      </c>
      <c r="N9" s="396">
        <v>0.86684379533488731</v>
      </c>
      <c r="O9" s="396">
        <v>0.82909451005965751</v>
      </c>
      <c r="P9" s="403">
        <v>49801</v>
      </c>
      <c r="Q9" s="403">
        <v>53180</v>
      </c>
      <c r="R9" s="403">
        <v>102981</v>
      </c>
      <c r="S9" s="403">
        <v>22752</v>
      </c>
      <c r="T9" s="403">
        <v>30248</v>
      </c>
      <c r="U9" s="403">
        <v>53000</v>
      </c>
      <c r="V9" s="396">
        <v>0.45685829601815225</v>
      </c>
      <c r="W9" s="396">
        <v>0.56878525761564502</v>
      </c>
      <c r="X9" s="396">
        <v>0.51465804371680213</v>
      </c>
      <c r="Y9" s="427">
        <v>48086</v>
      </c>
      <c r="Z9" s="427">
        <v>49285</v>
      </c>
      <c r="AA9" s="428">
        <v>97371</v>
      </c>
      <c r="AB9" s="427">
        <v>47610</v>
      </c>
      <c r="AC9" s="427">
        <v>48821</v>
      </c>
      <c r="AD9" s="387">
        <v>96431</v>
      </c>
      <c r="AE9" s="427">
        <v>35751</v>
      </c>
      <c r="AF9" s="427">
        <v>41352</v>
      </c>
      <c r="AG9" s="387">
        <v>77103</v>
      </c>
      <c r="AH9" s="396">
        <v>0.75091367359798367</v>
      </c>
      <c r="AI9" s="396">
        <v>0.84701255607218207</v>
      </c>
      <c r="AJ9" s="396">
        <v>0.79956652943555495</v>
      </c>
      <c r="AK9" s="427">
        <v>35751</v>
      </c>
      <c r="AL9" s="427">
        <v>41352</v>
      </c>
      <c r="AM9" s="387">
        <v>77103</v>
      </c>
      <c r="AN9" s="427">
        <v>13135</v>
      </c>
      <c r="AO9" s="427">
        <v>21041</v>
      </c>
      <c r="AP9" s="429">
        <v>34176</v>
      </c>
      <c r="AQ9" s="396">
        <v>0.36740231042488319</v>
      </c>
      <c r="AR9" s="396">
        <v>0.50882665892822598</v>
      </c>
      <c r="AS9" s="396">
        <v>0.44325123536049182</v>
      </c>
      <c r="AT9" s="387">
        <v>2167</v>
      </c>
      <c r="AU9" s="387">
        <v>2527</v>
      </c>
      <c r="AV9" s="387">
        <v>4694</v>
      </c>
      <c r="AW9" s="387">
        <v>2112</v>
      </c>
      <c r="AX9" s="387">
        <v>2492</v>
      </c>
      <c r="AY9" s="387">
        <v>4604</v>
      </c>
      <c r="AZ9" s="387">
        <v>1459</v>
      </c>
      <c r="BA9" s="387">
        <v>1967</v>
      </c>
      <c r="BB9" s="387">
        <v>3426</v>
      </c>
      <c r="BC9" s="396">
        <v>0.69081439393939392</v>
      </c>
      <c r="BD9" s="396">
        <v>0.7893258426966292</v>
      </c>
      <c r="BE9" s="396">
        <v>0.7441355343179844</v>
      </c>
      <c r="BF9" s="387">
        <v>1459</v>
      </c>
      <c r="BG9" s="387">
        <v>1967</v>
      </c>
      <c r="BH9" s="387">
        <v>3426</v>
      </c>
      <c r="BI9" s="387">
        <v>455</v>
      </c>
      <c r="BJ9" s="387">
        <v>823</v>
      </c>
      <c r="BK9" s="387">
        <v>1278</v>
      </c>
      <c r="BL9" s="396">
        <v>0.31185743660041126</v>
      </c>
      <c r="BM9" s="396">
        <v>0.41840366039654298</v>
      </c>
      <c r="BN9" s="396">
        <v>0.37302977232924694</v>
      </c>
      <c r="BO9" s="387">
        <v>13195</v>
      </c>
      <c r="BP9" s="387">
        <v>10074</v>
      </c>
      <c r="BQ9" s="387">
        <v>23269</v>
      </c>
      <c r="BR9" s="387">
        <v>13138</v>
      </c>
      <c r="BS9" s="387">
        <v>10036</v>
      </c>
      <c r="BT9" s="387">
        <v>23174</v>
      </c>
      <c r="BU9" s="387">
        <v>12591</v>
      </c>
      <c r="BV9" s="387">
        <v>9861</v>
      </c>
      <c r="BW9" s="387">
        <v>22452</v>
      </c>
      <c r="BX9" s="396">
        <v>0.95836504795250421</v>
      </c>
      <c r="BY9" s="396">
        <v>0.98256277401355119</v>
      </c>
      <c r="BZ9" s="396">
        <v>0.96884439458013294</v>
      </c>
      <c r="CA9" s="387">
        <v>12591</v>
      </c>
      <c r="CB9" s="387">
        <v>9861</v>
      </c>
      <c r="CC9" s="387">
        <v>22452</v>
      </c>
      <c r="CD9" s="387">
        <v>9162</v>
      </c>
      <c r="CE9" s="387">
        <v>8384</v>
      </c>
      <c r="CF9" s="387">
        <v>17546</v>
      </c>
      <c r="CG9" s="396">
        <v>0.72766261615439598</v>
      </c>
      <c r="CH9" s="396">
        <v>0.85021803062569723</v>
      </c>
      <c r="CI9" s="396">
        <v>0.78148939960805275</v>
      </c>
      <c r="CJ9" s="409"/>
      <c r="CK9" s="409"/>
      <c r="CL9" s="409"/>
      <c r="CM9" s="409"/>
      <c r="CN9" s="409"/>
      <c r="CO9" s="409"/>
      <c r="CP9" s="409"/>
      <c r="CQ9" s="409"/>
      <c r="CR9" s="409"/>
      <c r="CS9" s="409"/>
      <c r="CT9" s="409"/>
      <c r="CU9" s="409"/>
      <c r="CV9" s="409"/>
      <c r="CW9" s="409"/>
      <c r="CX9" s="409"/>
      <c r="CY9" s="409"/>
      <c r="CZ9" s="409"/>
      <c r="DA9" s="409"/>
      <c r="DB9" s="409"/>
      <c r="DC9" s="409"/>
      <c r="DD9" s="409"/>
    </row>
    <row r="10" spans="1:108" ht="30" customHeight="1" x14ac:dyDescent="0.25">
      <c r="A10" s="423">
        <v>4</v>
      </c>
      <c r="B10" s="486" t="s">
        <v>360</v>
      </c>
      <c r="C10" s="401" t="s">
        <v>134</v>
      </c>
      <c r="D10" s="403">
        <v>19409</v>
      </c>
      <c r="E10" s="403">
        <v>21827</v>
      </c>
      <c r="F10" s="403">
        <v>41236</v>
      </c>
      <c r="G10" s="403">
        <v>18937</v>
      </c>
      <c r="H10" s="403">
        <v>21208</v>
      </c>
      <c r="I10" s="403">
        <v>40145</v>
      </c>
      <c r="J10" s="403">
        <v>9874</v>
      </c>
      <c r="K10" s="403">
        <v>10218</v>
      </c>
      <c r="L10" s="403">
        <v>20092</v>
      </c>
      <c r="M10" s="396">
        <v>0.52141310661667639</v>
      </c>
      <c r="N10" s="396">
        <v>0.48179932101093925</v>
      </c>
      <c r="O10" s="396">
        <v>0.50048573919541661</v>
      </c>
      <c r="P10" s="403">
        <v>9874</v>
      </c>
      <c r="Q10" s="403">
        <v>10218</v>
      </c>
      <c r="R10" s="403">
        <v>20092</v>
      </c>
      <c r="S10" s="403">
        <v>1958</v>
      </c>
      <c r="T10" s="403">
        <v>2098</v>
      </c>
      <c r="U10" s="403">
        <v>4056</v>
      </c>
      <c r="V10" s="396">
        <v>0.19829856187968403</v>
      </c>
      <c r="W10" s="396">
        <v>0.20532393814836564</v>
      </c>
      <c r="X10" s="396">
        <v>0.20187139159864623</v>
      </c>
      <c r="Y10" s="403">
        <v>12252</v>
      </c>
      <c r="Z10" s="403">
        <v>14110</v>
      </c>
      <c r="AA10" s="403">
        <v>26362</v>
      </c>
      <c r="AB10" s="403">
        <v>12038</v>
      </c>
      <c r="AC10" s="403">
        <v>13780</v>
      </c>
      <c r="AD10" s="403">
        <v>25818</v>
      </c>
      <c r="AE10" s="403">
        <v>5991</v>
      </c>
      <c r="AF10" s="403">
        <v>6480</v>
      </c>
      <c r="AG10" s="403">
        <v>12471</v>
      </c>
      <c r="AH10" s="396">
        <v>0.49767403223126766</v>
      </c>
      <c r="AI10" s="396">
        <v>0.47024673439767778</v>
      </c>
      <c r="AJ10" s="396">
        <v>0.48303509179642112</v>
      </c>
      <c r="AK10" s="403">
        <v>5991</v>
      </c>
      <c r="AL10" s="403">
        <v>6480</v>
      </c>
      <c r="AM10" s="403">
        <v>12471</v>
      </c>
      <c r="AN10" s="403">
        <v>899</v>
      </c>
      <c r="AO10" s="403">
        <v>1012</v>
      </c>
      <c r="AP10" s="403">
        <v>1911</v>
      </c>
      <c r="AQ10" s="396">
        <v>0.1500584209647805</v>
      </c>
      <c r="AR10" s="396">
        <v>0.15617283950617283</v>
      </c>
      <c r="AS10" s="396">
        <v>0.1532355063747895</v>
      </c>
      <c r="AT10" s="409"/>
      <c r="AU10" s="409"/>
      <c r="AV10" s="409"/>
      <c r="AW10" s="409"/>
      <c r="AX10" s="409"/>
      <c r="AY10" s="409"/>
      <c r="AZ10" s="409"/>
      <c r="BA10" s="409"/>
      <c r="BB10" s="409"/>
      <c r="BC10" s="409"/>
      <c r="BD10" s="409"/>
      <c r="BE10" s="409"/>
      <c r="BF10" s="409"/>
      <c r="BG10" s="409"/>
      <c r="BH10" s="409"/>
      <c r="BI10" s="409"/>
      <c r="BJ10" s="409"/>
      <c r="BK10" s="409"/>
      <c r="BL10" s="409"/>
      <c r="BM10" s="409"/>
      <c r="BN10" s="409"/>
      <c r="BO10" s="409"/>
      <c r="BP10" s="409"/>
      <c r="BQ10" s="409"/>
      <c r="BR10" s="409"/>
      <c r="BS10" s="409"/>
      <c r="BT10" s="409"/>
      <c r="BU10" s="409"/>
      <c r="BV10" s="409"/>
      <c r="BW10" s="409"/>
      <c r="BX10" s="409"/>
      <c r="BY10" s="409"/>
      <c r="BZ10" s="409"/>
      <c r="CA10" s="409"/>
      <c r="CB10" s="409"/>
      <c r="CC10" s="409"/>
      <c r="CD10" s="409"/>
      <c r="CE10" s="409"/>
      <c r="CF10" s="409"/>
      <c r="CG10" s="409"/>
      <c r="CH10" s="409"/>
      <c r="CI10" s="409"/>
      <c r="CJ10" s="409"/>
      <c r="CK10" s="409"/>
      <c r="CL10" s="409"/>
      <c r="CM10" s="409"/>
      <c r="CN10" s="409"/>
      <c r="CO10" s="409"/>
      <c r="CP10" s="409"/>
      <c r="CQ10" s="409"/>
      <c r="CR10" s="409"/>
      <c r="CS10" s="409"/>
      <c r="CT10" s="409"/>
      <c r="CU10" s="409"/>
      <c r="CV10" s="409"/>
      <c r="CW10" s="409"/>
      <c r="CX10" s="409"/>
      <c r="CY10" s="409"/>
      <c r="CZ10" s="409"/>
      <c r="DA10" s="409"/>
      <c r="DB10" s="409"/>
      <c r="DC10" s="409"/>
      <c r="DD10" s="409"/>
    </row>
    <row r="11" spans="1:108" s="362" customFormat="1" ht="29.25" customHeight="1" x14ac:dyDescent="0.25">
      <c r="A11" s="423">
        <v>5</v>
      </c>
      <c r="B11" s="486"/>
      <c r="C11" s="401" t="s">
        <v>355</v>
      </c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5"/>
      <c r="AK11" s="405"/>
      <c r="AL11" s="405"/>
      <c r="AM11" s="405"/>
      <c r="AN11" s="405"/>
      <c r="AO11" s="405"/>
      <c r="AP11" s="405"/>
      <c r="AQ11" s="405"/>
      <c r="AR11" s="405"/>
      <c r="AS11" s="405"/>
      <c r="AT11" s="409"/>
      <c r="AU11" s="409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09"/>
      <c r="BQ11" s="409"/>
      <c r="BR11" s="409"/>
      <c r="BS11" s="409"/>
      <c r="BT11" s="409"/>
      <c r="BU11" s="409"/>
      <c r="BV11" s="409"/>
      <c r="BW11" s="409"/>
      <c r="BX11" s="409"/>
      <c r="BY11" s="409"/>
      <c r="BZ11" s="409"/>
      <c r="CA11" s="409"/>
      <c r="CB11" s="409"/>
      <c r="CC11" s="409"/>
      <c r="CD11" s="409"/>
      <c r="CE11" s="409"/>
      <c r="CF11" s="409"/>
      <c r="CG11" s="409"/>
      <c r="CH11" s="409"/>
      <c r="CI11" s="409"/>
      <c r="CJ11" s="409"/>
      <c r="CK11" s="409"/>
      <c r="CL11" s="409"/>
      <c r="CM11" s="409"/>
      <c r="CN11" s="409"/>
      <c r="CO11" s="409"/>
      <c r="CP11" s="409"/>
      <c r="CQ11" s="409"/>
      <c r="CR11" s="409"/>
      <c r="CS11" s="409"/>
      <c r="CT11" s="409"/>
      <c r="CU11" s="409"/>
      <c r="CV11" s="409"/>
      <c r="CW11" s="409"/>
      <c r="CX11" s="409"/>
      <c r="CY11" s="409"/>
      <c r="CZ11" s="409"/>
      <c r="DA11" s="409"/>
      <c r="DB11" s="409"/>
      <c r="DC11" s="409"/>
      <c r="DD11" s="409"/>
    </row>
    <row r="12" spans="1:108" ht="39.75" customHeight="1" x14ac:dyDescent="0.25">
      <c r="A12" s="423">
        <v>6</v>
      </c>
      <c r="B12" s="486" t="s">
        <v>362</v>
      </c>
      <c r="C12" s="401" t="s">
        <v>345</v>
      </c>
      <c r="D12" s="403">
        <v>159975</v>
      </c>
      <c r="E12" s="403">
        <v>156312</v>
      </c>
      <c r="F12" s="403">
        <v>316287</v>
      </c>
      <c r="G12" s="403">
        <v>145592</v>
      </c>
      <c r="H12" s="403">
        <v>142394</v>
      </c>
      <c r="I12" s="403">
        <v>287986</v>
      </c>
      <c r="J12" s="403">
        <v>108378</v>
      </c>
      <c r="K12" s="403">
        <v>93091</v>
      </c>
      <c r="L12" s="403">
        <v>201469</v>
      </c>
      <c r="M12" s="396">
        <v>0.74439529644485958</v>
      </c>
      <c r="N12" s="396">
        <v>0.65375647850330776</v>
      </c>
      <c r="O12" s="396">
        <v>0.69957914620849626</v>
      </c>
      <c r="P12" s="403">
        <v>108378</v>
      </c>
      <c r="Q12" s="403">
        <v>93091</v>
      </c>
      <c r="R12" s="403">
        <v>201469</v>
      </c>
      <c r="S12" s="403">
        <v>32614</v>
      </c>
      <c r="T12" s="403">
        <v>17482</v>
      </c>
      <c r="U12" s="403">
        <v>50096</v>
      </c>
      <c r="V12" s="396">
        <v>0.30092823266714647</v>
      </c>
      <c r="W12" s="396">
        <v>0.1877947384817007</v>
      </c>
      <c r="X12" s="396">
        <v>0.2486536390213879</v>
      </c>
      <c r="Y12" s="403">
        <v>148567</v>
      </c>
      <c r="Z12" s="403">
        <v>146797</v>
      </c>
      <c r="AA12" s="403">
        <v>295364</v>
      </c>
      <c r="AB12" s="403">
        <v>134814</v>
      </c>
      <c r="AC12" s="403">
        <v>133394</v>
      </c>
      <c r="AD12" s="403">
        <v>268208</v>
      </c>
      <c r="AE12" s="403">
        <v>99831</v>
      </c>
      <c r="AF12" s="403">
        <v>86953</v>
      </c>
      <c r="AG12" s="403">
        <v>186784</v>
      </c>
      <c r="AH12" s="396">
        <v>0.74050914593439854</v>
      </c>
      <c r="AI12" s="396">
        <v>0.65185090783693422</v>
      </c>
      <c r="AJ12" s="396">
        <v>0.69641472290162854</v>
      </c>
      <c r="AK12" s="403">
        <v>99831</v>
      </c>
      <c r="AL12" s="403">
        <v>86953</v>
      </c>
      <c r="AM12" s="403">
        <v>186784</v>
      </c>
      <c r="AN12" s="403">
        <v>28940</v>
      </c>
      <c r="AO12" s="403">
        <v>16000</v>
      </c>
      <c r="AP12" s="403">
        <v>44940</v>
      </c>
      <c r="AQ12" s="396">
        <v>0.28988991395458324</v>
      </c>
      <c r="AR12" s="396">
        <v>0.18400745230181823</v>
      </c>
      <c r="AS12" s="396">
        <v>0.24059876648963507</v>
      </c>
      <c r="AT12" s="387">
        <v>11408</v>
      </c>
      <c r="AU12" s="387">
        <v>9515</v>
      </c>
      <c r="AV12" s="387">
        <v>20923</v>
      </c>
      <c r="AW12" s="387">
        <v>10778</v>
      </c>
      <c r="AX12" s="387">
        <v>9000</v>
      </c>
      <c r="AY12" s="387">
        <v>19778</v>
      </c>
      <c r="AZ12" s="387">
        <v>8547</v>
      </c>
      <c r="BA12" s="387">
        <v>6138</v>
      </c>
      <c r="BB12" s="387">
        <v>14685</v>
      </c>
      <c r="BC12" s="396">
        <v>0.79300426795323808</v>
      </c>
      <c r="BD12" s="396">
        <v>0.68200000000000005</v>
      </c>
      <c r="BE12" s="396">
        <v>0.74249165739710787</v>
      </c>
      <c r="BF12" s="387">
        <v>8547</v>
      </c>
      <c r="BG12" s="387">
        <v>6138</v>
      </c>
      <c r="BH12" s="387">
        <v>14685</v>
      </c>
      <c r="BI12" s="387">
        <v>3674</v>
      </c>
      <c r="BJ12" s="387">
        <v>1482</v>
      </c>
      <c r="BK12" s="387">
        <v>5156</v>
      </c>
      <c r="BL12" s="396">
        <v>0.42985842985842987</v>
      </c>
      <c r="BM12" s="396">
        <v>0.24144672531769307</v>
      </c>
      <c r="BN12" s="396">
        <v>0.35110657133129042</v>
      </c>
      <c r="BO12" s="409"/>
      <c r="BP12" s="409"/>
      <c r="BQ12" s="409"/>
      <c r="BR12" s="409"/>
      <c r="BS12" s="409"/>
      <c r="BT12" s="409"/>
      <c r="BU12" s="409"/>
      <c r="BV12" s="409"/>
      <c r="BW12" s="409"/>
      <c r="BX12" s="409"/>
      <c r="BY12" s="409"/>
      <c r="BZ12" s="409"/>
      <c r="CA12" s="409"/>
      <c r="CB12" s="409"/>
      <c r="CC12" s="409"/>
      <c r="CD12" s="409"/>
      <c r="CE12" s="409"/>
      <c r="CF12" s="409"/>
      <c r="CG12" s="409"/>
      <c r="CH12" s="409"/>
      <c r="CI12" s="409"/>
      <c r="CJ12" s="409"/>
      <c r="CK12" s="409"/>
      <c r="CL12" s="409"/>
      <c r="CM12" s="409"/>
      <c r="CN12" s="409"/>
      <c r="CO12" s="409"/>
      <c r="CP12" s="409"/>
      <c r="CQ12" s="409"/>
      <c r="CR12" s="409"/>
      <c r="CS12" s="409"/>
      <c r="CT12" s="409"/>
      <c r="CU12" s="409"/>
      <c r="CV12" s="409"/>
      <c r="CW12" s="409"/>
      <c r="CX12" s="409"/>
      <c r="CY12" s="409"/>
      <c r="CZ12" s="409"/>
      <c r="DA12" s="409"/>
      <c r="DB12" s="409"/>
      <c r="DC12" s="409"/>
      <c r="DD12" s="409"/>
    </row>
    <row r="13" spans="1:108" s="377" customFormat="1" ht="51.75" customHeight="1" x14ac:dyDescent="0.25">
      <c r="A13" s="423">
        <v>7</v>
      </c>
      <c r="B13" s="486"/>
      <c r="C13" s="401" t="s">
        <v>139</v>
      </c>
      <c r="D13" s="403">
        <v>17</v>
      </c>
      <c r="E13" s="403">
        <v>28</v>
      </c>
      <c r="F13" s="403">
        <v>45</v>
      </c>
      <c r="G13" s="403">
        <v>17</v>
      </c>
      <c r="H13" s="403">
        <v>28</v>
      </c>
      <c r="I13" s="403">
        <v>45</v>
      </c>
      <c r="J13" s="403">
        <v>17</v>
      </c>
      <c r="K13" s="403">
        <v>28</v>
      </c>
      <c r="L13" s="403">
        <v>45</v>
      </c>
      <c r="M13" s="396">
        <v>1</v>
      </c>
      <c r="N13" s="396">
        <v>1</v>
      </c>
      <c r="O13" s="396">
        <v>1</v>
      </c>
      <c r="P13" s="403">
        <v>17</v>
      </c>
      <c r="Q13" s="403">
        <v>28</v>
      </c>
      <c r="R13" s="403">
        <v>45</v>
      </c>
      <c r="S13" s="403">
        <v>2</v>
      </c>
      <c r="T13" s="403">
        <v>7</v>
      </c>
      <c r="U13" s="403">
        <v>9</v>
      </c>
      <c r="V13" s="396">
        <v>0.11764705882352941</v>
      </c>
      <c r="W13" s="396">
        <v>0.25</v>
      </c>
      <c r="X13" s="396">
        <v>0.2</v>
      </c>
      <c r="Y13" s="405"/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5"/>
      <c r="AK13" s="405"/>
      <c r="AL13" s="405"/>
      <c r="AM13" s="405"/>
      <c r="AN13" s="405"/>
      <c r="AO13" s="405"/>
      <c r="AP13" s="405"/>
      <c r="AQ13" s="405"/>
      <c r="AR13" s="405"/>
      <c r="AS13" s="405"/>
      <c r="AT13" s="387">
        <v>17</v>
      </c>
      <c r="AU13" s="387">
        <v>19</v>
      </c>
      <c r="AV13" s="387">
        <v>36</v>
      </c>
      <c r="AW13" s="387">
        <v>17</v>
      </c>
      <c r="AX13" s="387">
        <v>19</v>
      </c>
      <c r="AY13" s="387">
        <v>36</v>
      </c>
      <c r="AZ13" s="387">
        <v>17</v>
      </c>
      <c r="BA13" s="387">
        <v>19</v>
      </c>
      <c r="BB13" s="387">
        <v>36</v>
      </c>
      <c r="BC13" s="396">
        <v>1</v>
      </c>
      <c r="BD13" s="396">
        <v>1</v>
      </c>
      <c r="BE13" s="396">
        <v>1</v>
      </c>
      <c r="BF13" s="387">
        <v>17</v>
      </c>
      <c r="BG13" s="387">
        <v>19</v>
      </c>
      <c r="BH13" s="387">
        <v>36</v>
      </c>
      <c r="BI13" s="387">
        <v>2</v>
      </c>
      <c r="BJ13" s="387">
        <v>5</v>
      </c>
      <c r="BK13" s="387">
        <v>7</v>
      </c>
      <c r="BL13" s="396">
        <v>0.11764705882352941</v>
      </c>
      <c r="BM13" s="396">
        <v>0.26315789473684209</v>
      </c>
      <c r="BN13" s="396">
        <v>0.19444444444444445</v>
      </c>
      <c r="BO13" s="387">
        <v>0</v>
      </c>
      <c r="BP13" s="387">
        <v>9</v>
      </c>
      <c r="BQ13" s="387">
        <v>9</v>
      </c>
      <c r="BR13" s="387">
        <v>0</v>
      </c>
      <c r="BS13" s="387">
        <v>9</v>
      </c>
      <c r="BT13" s="387">
        <v>9</v>
      </c>
      <c r="BU13" s="387">
        <v>0</v>
      </c>
      <c r="BV13" s="387">
        <v>9</v>
      </c>
      <c r="BW13" s="387">
        <v>9</v>
      </c>
      <c r="BX13" s="409"/>
      <c r="BY13" s="396">
        <v>1</v>
      </c>
      <c r="BZ13" s="396">
        <v>1</v>
      </c>
      <c r="CA13" s="387">
        <v>0</v>
      </c>
      <c r="CB13" s="387">
        <v>9</v>
      </c>
      <c r="CC13" s="387">
        <v>9</v>
      </c>
      <c r="CD13" s="387">
        <v>0</v>
      </c>
      <c r="CE13" s="387">
        <v>2</v>
      </c>
      <c r="CF13" s="387">
        <v>2</v>
      </c>
      <c r="CG13" s="409"/>
      <c r="CH13" s="396">
        <v>0.22222222222222221</v>
      </c>
      <c r="CI13" s="396">
        <v>0.22222222222222221</v>
      </c>
      <c r="CJ13" s="409"/>
      <c r="CK13" s="409"/>
      <c r="CL13" s="409"/>
      <c r="CM13" s="409"/>
      <c r="CN13" s="409"/>
      <c r="CO13" s="409"/>
      <c r="CP13" s="409"/>
      <c r="CQ13" s="409"/>
      <c r="CR13" s="409"/>
      <c r="CS13" s="409"/>
      <c r="CT13" s="409"/>
      <c r="CU13" s="409"/>
      <c r="CV13" s="409"/>
      <c r="CW13" s="409"/>
      <c r="CX13" s="409"/>
      <c r="CY13" s="409"/>
      <c r="CZ13" s="409"/>
      <c r="DA13" s="409"/>
      <c r="DB13" s="409"/>
      <c r="DC13" s="409"/>
      <c r="DD13" s="409"/>
    </row>
    <row r="14" spans="1:108" s="377" customFormat="1" ht="36" customHeight="1" x14ac:dyDescent="0.25">
      <c r="A14" s="423">
        <v>8</v>
      </c>
      <c r="B14" s="486"/>
      <c r="C14" s="401" t="s">
        <v>352</v>
      </c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9"/>
      <c r="AU14" s="409"/>
      <c r="AV14" s="409"/>
      <c r="AW14" s="409"/>
      <c r="AX14" s="409"/>
      <c r="AY14" s="409"/>
      <c r="AZ14" s="409"/>
      <c r="BA14" s="409"/>
      <c r="BB14" s="409"/>
      <c r="BC14" s="409"/>
      <c r="BD14" s="409"/>
      <c r="BE14" s="409"/>
      <c r="BF14" s="409"/>
      <c r="BG14" s="409"/>
      <c r="BH14" s="409"/>
      <c r="BI14" s="409"/>
      <c r="BJ14" s="409"/>
      <c r="BK14" s="409"/>
      <c r="BL14" s="409"/>
      <c r="BM14" s="409"/>
      <c r="BN14" s="409"/>
      <c r="BO14" s="409"/>
      <c r="BP14" s="409"/>
      <c r="BQ14" s="409"/>
      <c r="BR14" s="409"/>
      <c r="BS14" s="409"/>
      <c r="BT14" s="409"/>
      <c r="BU14" s="409"/>
      <c r="BV14" s="409"/>
      <c r="BW14" s="409"/>
      <c r="BX14" s="409"/>
      <c r="BY14" s="409"/>
      <c r="BZ14" s="409"/>
      <c r="CA14" s="409"/>
      <c r="CB14" s="409"/>
      <c r="CC14" s="409"/>
      <c r="CD14" s="409"/>
      <c r="CE14" s="409"/>
      <c r="CF14" s="409"/>
      <c r="CG14" s="409"/>
      <c r="CH14" s="409"/>
      <c r="CI14" s="409"/>
      <c r="CJ14" s="409"/>
      <c r="CK14" s="409"/>
      <c r="CL14" s="409"/>
      <c r="CM14" s="409"/>
      <c r="CN14" s="409"/>
      <c r="CO14" s="409"/>
      <c r="CP14" s="409"/>
      <c r="CQ14" s="409"/>
      <c r="CR14" s="409"/>
      <c r="CS14" s="409"/>
      <c r="CT14" s="409"/>
      <c r="CU14" s="409"/>
      <c r="CV14" s="409"/>
      <c r="CW14" s="409"/>
      <c r="CX14" s="409"/>
      <c r="CY14" s="409"/>
      <c r="CZ14" s="409"/>
      <c r="DA14" s="409"/>
      <c r="DB14" s="409"/>
      <c r="DC14" s="409"/>
      <c r="DD14" s="409"/>
    </row>
    <row r="15" spans="1:108" ht="36.75" customHeight="1" x14ac:dyDescent="0.25">
      <c r="A15" s="423">
        <v>9</v>
      </c>
      <c r="B15" s="486" t="s">
        <v>363</v>
      </c>
      <c r="C15" s="401" t="s">
        <v>145</v>
      </c>
      <c r="D15" s="403">
        <v>25267</v>
      </c>
      <c r="E15" s="403">
        <v>29385</v>
      </c>
      <c r="F15" s="403">
        <v>54652</v>
      </c>
      <c r="G15" s="403">
        <v>23876</v>
      </c>
      <c r="H15" s="403">
        <v>28413</v>
      </c>
      <c r="I15" s="403">
        <v>52289</v>
      </c>
      <c r="J15" s="403">
        <v>15924</v>
      </c>
      <c r="K15" s="403">
        <v>21617</v>
      </c>
      <c r="L15" s="403">
        <v>37541</v>
      </c>
      <c r="M15" s="396">
        <v>0.66694588708326352</v>
      </c>
      <c r="N15" s="396">
        <v>0.76081371203322423</v>
      </c>
      <c r="O15" s="396">
        <v>0.71795215054791639</v>
      </c>
      <c r="P15" s="403">
        <v>15924</v>
      </c>
      <c r="Q15" s="403">
        <v>21617</v>
      </c>
      <c r="R15" s="403">
        <v>37541</v>
      </c>
      <c r="S15" s="403">
        <v>6294</v>
      </c>
      <c r="T15" s="403">
        <v>10265</v>
      </c>
      <c r="U15" s="403">
        <v>16559</v>
      </c>
      <c r="V15" s="396">
        <v>0.39525244913338359</v>
      </c>
      <c r="W15" s="396">
        <v>0.47485775084424298</v>
      </c>
      <c r="X15" s="396">
        <v>0.44109107375935641</v>
      </c>
      <c r="Y15" s="403">
        <v>20434</v>
      </c>
      <c r="Z15" s="403">
        <v>24961</v>
      </c>
      <c r="AA15" s="403">
        <v>45395</v>
      </c>
      <c r="AB15" s="403">
        <v>19113</v>
      </c>
      <c r="AC15" s="403">
        <v>24036</v>
      </c>
      <c r="AD15" s="403">
        <v>43149</v>
      </c>
      <c r="AE15" s="403">
        <v>12153</v>
      </c>
      <c r="AF15" s="403">
        <v>17792</v>
      </c>
      <c r="AG15" s="403">
        <v>29945</v>
      </c>
      <c r="AH15" s="396">
        <v>0.63584994506356929</v>
      </c>
      <c r="AI15" s="396">
        <v>0.74022299883508069</v>
      </c>
      <c r="AJ15" s="396">
        <v>0.69399059074370206</v>
      </c>
      <c r="AK15" s="403">
        <v>12153</v>
      </c>
      <c r="AL15" s="403">
        <v>17792</v>
      </c>
      <c r="AM15" s="403">
        <v>29945</v>
      </c>
      <c r="AN15" s="403">
        <v>4073</v>
      </c>
      <c r="AO15" s="403">
        <v>7554</v>
      </c>
      <c r="AP15" s="403">
        <v>11627</v>
      </c>
      <c r="AQ15" s="396">
        <v>0.33514358594585697</v>
      </c>
      <c r="AR15" s="396">
        <v>0.42457284172661869</v>
      </c>
      <c r="AS15" s="396">
        <v>0.38827851060277174</v>
      </c>
      <c r="AT15" s="409"/>
      <c r="AU15" s="409"/>
      <c r="AV15" s="409"/>
      <c r="AW15" s="409"/>
      <c r="AX15" s="409"/>
      <c r="AY15" s="409"/>
      <c r="AZ15" s="409"/>
      <c r="BA15" s="409"/>
      <c r="BB15" s="409"/>
      <c r="BC15" s="409"/>
      <c r="BD15" s="409"/>
      <c r="BE15" s="409"/>
      <c r="BF15" s="409"/>
      <c r="BG15" s="409"/>
      <c r="BH15" s="409"/>
      <c r="BI15" s="409"/>
      <c r="BJ15" s="409"/>
      <c r="BK15" s="409"/>
      <c r="BL15" s="409"/>
      <c r="BM15" s="409"/>
      <c r="BN15" s="409"/>
      <c r="BO15" s="387">
        <v>4833</v>
      </c>
      <c r="BP15" s="387">
        <v>4424</v>
      </c>
      <c r="BQ15" s="387">
        <v>9257</v>
      </c>
      <c r="BR15" s="387">
        <v>4763</v>
      </c>
      <c r="BS15" s="387">
        <v>4377</v>
      </c>
      <c r="BT15" s="387">
        <v>9140</v>
      </c>
      <c r="BU15" s="387">
        <v>3771</v>
      </c>
      <c r="BV15" s="387">
        <v>3825</v>
      </c>
      <c r="BW15" s="387">
        <v>7596</v>
      </c>
      <c r="BX15" s="396">
        <v>0.791727902582406</v>
      </c>
      <c r="BY15" s="396">
        <v>0.87388622344071276</v>
      </c>
      <c r="BZ15" s="396">
        <v>0.83107221006564547</v>
      </c>
      <c r="CA15" s="387">
        <v>3771</v>
      </c>
      <c r="CB15" s="387">
        <v>3825</v>
      </c>
      <c r="CC15" s="387">
        <v>7596</v>
      </c>
      <c r="CD15" s="387">
        <v>2221</v>
      </c>
      <c r="CE15" s="387">
        <v>2711</v>
      </c>
      <c r="CF15" s="387">
        <v>4932</v>
      </c>
      <c r="CG15" s="396">
        <v>0.5889684433837179</v>
      </c>
      <c r="CH15" s="396">
        <v>0.70875816993464047</v>
      </c>
      <c r="CI15" s="396">
        <v>0.64928909952606639</v>
      </c>
      <c r="CJ15" s="409"/>
      <c r="CK15" s="409"/>
      <c r="CL15" s="409"/>
      <c r="CM15" s="409"/>
      <c r="CN15" s="409"/>
      <c r="CO15" s="409"/>
      <c r="CP15" s="409"/>
      <c r="CQ15" s="409"/>
      <c r="CR15" s="409"/>
      <c r="CS15" s="409"/>
      <c r="CT15" s="409"/>
      <c r="CU15" s="409"/>
      <c r="CV15" s="409"/>
      <c r="CW15" s="409"/>
      <c r="CX15" s="409"/>
      <c r="CY15" s="409"/>
      <c r="CZ15" s="409"/>
      <c r="DA15" s="409"/>
      <c r="DB15" s="409"/>
      <c r="DC15" s="409"/>
      <c r="DD15" s="409"/>
    </row>
    <row r="16" spans="1:108" s="377" customFormat="1" ht="34.5" customHeight="1" x14ac:dyDescent="0.25">
      <c r="A16" s="423">
        <v>10</v>
      </c>
      <c r="B16" s="486"/>
      <c r="C16" s="401" t="s">
        <v>346</v>
      </c>
      <c r="D16" s="405"/>
      <c r="E16" s="405"/>
      <c r="F16" s="405"/>
      <c r="G16" s="405"/>
      <c r="H16" s="405"/>
      <c r="I16" s="405"/>
      <c r="J16" s="405"/>
      <c r="K16" s="405"/>
      <c r="L16" s="405"/>
      <c r="M16" s="405"/>
      <c r="N16" s="405"/>
      <c r="O16" s="405"/>
      <c r="P16" s="405"/>
      <c r="Q16" s="405"/>
      <c r="R16" s="405"/>
      <c r="S16" s="405"/>
      <c r="T16" s="405"/>
      <c r="U16" s="405"/>
      <c r="V16" s="405"/>
      <c r="W16" s="405"/>
      <c r="X16" s="405"/>
      <c r="Y16" s="405"/>
      <c r="Z16" s="405"/>
      <c r="AA16" s="405"/>
      <c r="AB16" s="405"/>
      <c r="AC16" s="405"/>
      <c r="AD16" s="405"/>
      <c r="AE16" s="405"/>
      <c r="AF16" s="405"/>
      <c r="AG16" s="405"/>
      <c r="AH16" s="405"/>
      <c r="AI16" s="405"/>
      <c r="AJ16" s="405"/>
      <c r="AK16" s="405"/>
      <c r="AL16" s="405"/>
      <c r="AM16" s="405"/>
      <c r="AN16" s="405"/>
      <c r="AO16" s="405"/>
      <c r="AP16" s="405"/>
      <c r="AQ16" s="405"/>
      <c r="AR16" s="405"/>
      <c r="AS16" s="405"/>
      <c r="AT16" s="409"/>
      <c r="AU16" s="409"/>
      <c r="AV16" s="409"/>
      <c r="AW16" s="409"/>
      <c r="AX16" s="409"/>
      <c r="AY16" s="409"/>
      <c r="AZ16" s="409"/>
      <c r="BA16" s="409"/>
      <c r="BB16" s="409"/>
      <c r="BC16" s="409"/>
      <c r="BD16" s="409"/>
      <c r="BE16" s="409"/>
      <c r="BF16" s="409"/>
      <c r="BG16" s="409"/>
      <c r="BH16" s="409"/>
      <c r="BI16" s="409"/>
      <c r="BJ16" s="409"/>
      <c r="BK16" s="409"/>
      <c r="BL16" s="409"/>
      <c r="BM16" s="409"/>
      <c r="BN16" s="409"/>
      <c r="BO16" s="409"/>
      <c r="BP16" s="409"/>
      <c r="BQ16" s="409"/>
      <c r="BR16" s="409"/>
      <c r="BS16" s="409"/>
      <c r="BT16" s="409"/>
      <c r="BU16" s="409"/>
      <c r="BV16" s="409"/>
      <c r="BW16" s="409"/>
      <c r="BX16" s="409"/>
      <c r="BY16" s="409"/>
      <c r="BZ16" s="409"/>
      <c r="CA16" s="409"/>
      <c r="CB16" s="409"/>
      <c r="CC16" s="409"/>
      <c r="CD16" s="409"/>
      <c r="CE16" s="409"/>
      <c r="CF16" s="409"/>
      <c r="CG16" s="409"/>
      <c r="CH16" s="409"/>
      <c r="CI16" s="409"/>
      <c r="CJ16" s="409"/>
      <c r="CK16" s="409"/>
      <c r="CL16" s="409"/>
      <c r="CM16" s="409"/>
      <c r="CN16" s="409"/>
      <c r="CO16" s="409"/>
      <c r="CP16" s="409"/>
      <c r="CQ16" s="409"/>
      <c r="CR16" s="409"/>
      <c r="CS16" s="409"/>
      <c r="CT16" s="409"/>
      <c r="CU16" s="409"/>
      <c r="CV16" s="409"/>
      <c r="CW16" s="409"/>
      <c r="CX16" s="409"/>
      <c r="CY16" s="409"/>
      <c r="CZ16" s="409"/>
      <c r="DA16" s="409"/>
      <c r="DB16" s="409"/>
      <c r="DC16" s="409"/>
      <c r="DD16" s="409"/>
    </row>
    <row r="17" spans="1:108" s="376" customFormat="1" ht="36.75" customHeight="1" x14ac:dyDescent="0.25">
      <c r="A17" s="423">
        <v>11</v>
      </c>
      <c r="B17" s="486"/>
      <c r="C17" s="401" t="s">
        <v>347</v>
      </c>
      <c r="D17" s="403">
        <v>81</v>
      </c>
      <c r="E17" s="403">
        <v>62</v>
      </c>
      <c r="F17" s="403">
        <v>143</v>
      </c>
      <c r="G17" s="403">
        <v>61</v>
      </c>
      <c r="H17" s="403">
        <v>52</v>
      </c>
      <c r="I17" s="403">
        <v>113</v>
      </c>
      <c r="J17" s="403">
        <v>61</v>
      </c>
      <c r="K17" s="403">
        <v>52</v>
      </c>
      <c r="L17" s="403">
        <v>113</v>
      </c>
      <c r="M17" s="396">
        <v>1</v>
      </c>
      <c r="N17" s="396">
        <v>1</v>
      </c>
      <c r="O17" s="396">
        <v>1</v>
      </c>
      <c r="P17" s="403">
        <v>61</v>
      </c>
      <c r="Q17" s="403">
        <v>52</v>
      </c>
      <c r="R17" s="403">
        <v>113</v>
      </c>
      <c r="S17" s="403">
        <v>42</v>
      </c>
      <c r="T17" s="403">
        <v>38</v>
      </c>
      <c r="U17" s="403">
        <v>80</v>
      </c>
      <c r="V17" s="396">
        <v>0.68852459016393441</v>
      </c>
      <c r="W17" s="396">
        <v>0.73076923076923073</v>
      </c>
      <c r="X17" s="396">
        <v>0.70796460176991149</v>
      </c>
      <c r="Y17" s="405"/>
      <c r="Z17" s="405"/>
      <c r="AA17" s="405"/>
      <c r="AB17" s="405"/>
      <c r="AC17" s="405"/>
      <c r="AD17" s="405"/>
      <c r="AE17" s="405"/>
      <c r="AF17" s="405"/>
      <c r="AG17" s="405"/>
      <c r="AH17" s="405"/>
      <c r="AI17" s="405"/>
      <c r="AJ17" s="405"/>
      <c r="AK17" s="405"/>
      <c r="AL17" s="405"/>
      <c r="AM17" s="405"/>
      <c r="AN17" s="405"/>
      <c r="AO17" s="405"/>
      <c r="AP17" s="405"/>
      <c r="AQ17" s="405"/>
      <c r="AR17" s="405"/>
      <c r="AS17" s="405"/>
      <c r="AT17" s="409"/>
      <c r="AU17" s="409"/>
      <c r="AV17" s="409"/>
      <c r="AW17" s="409"/>
      <c r="AX17" s="409"/>
      <c r="AY17" s="409"/>
      <c r="AZ17" s="409"/>
      <c r="BA17" s="409"/>
      <c r="BB17" s="409"/>
      <c r="BC17" s="409"/>
      <c r="BD17" s="409"/>
      <c r="BE17" s="409"/>
      <c r="BF17" s="409"/>
      <c r="BG17" s="409"/>
      <c r="BH17" s="409"/>
      <c r="BI17" s="409"/>
      <c r="BJ17" s="409"/>
      <c r="BK17" s="409"/>
      <c r="BL17" s="409"/>
      <c r="BM17" s="409"/>
      <c r="BN17" s="409"/>
      <c r="BO17" s="387">
        <v>81</v>
      </c>
      <c r="BP17" s="387">
        <v>62</v>
      </c>
      <c r="BQ17" s="387">
        <v>143</v>
      </c>
      <c r="BR17" s="387">
        <v>61</v>
      </c>
      <c r="BS17" s="387">
        <v>52</v>
      </c>
      <c r="BT17" s="387">
        <v>113</v>
      </c>
      <c r="BU17" s="387">
        <v>61</v>
      </c>
      <c r="BV17" s="387">
        <v>52</v>
      </c>
      <c r="BW17" s="387">
        <v>113</v>
      </c>
      <c r="BX17" s="396">
        <v>1</v>
      </c>
      <c r="BY17" s="396">
        <v>1</v>
      </c>
      <c r="BZ17" s="396">
        <v>1</v>
      </c>
      <c r="CA17" s="387">
        <v>61</v>
      </c>
      <c r="CB17" s="387">
        <v>52</v>
      </c>
      <c r="CC17" s="387">
        <v>113</v>
      </c>
      <c r="CD17" s="387">
        <v>42</v>
      </c>
      <c r="CE17" s="387">
        <v>38</v>
      </c>
      <c r="CF17" s="387">
        <v>80</v>
      </c>
      <c r="CG17" s="396">
        <v>0.68852459016393441</v>
      </c>
      <c r="CH17" s="396">
        <v>0.73076923076923073</v>
      </c>
      <c r="CI17" s="396">
        <v>0.70796460176991149</v>
      </c>
      <c r="CJ17" s="409"/>
      <c r="CK17" s="409"/>
      <c r="CL17" s="409"/>
      <c r="CM17" s="409"/>
      <c r="CN17" s="409"/>
      <c r="CO17" s="409"/>
      <c r="CP17" s="409"/>
      <c r="CQ17" s="409"/>
      <c r="CR17" s="409"/>
      <c r="CS17" s="409"/>
      <c r="CT17" s="409"/>
      <c r="CU17" s="409"/>
      <c r="CV17" s="409"/>
      <c r="CW17" s="409"/>
      <c r="CX17" s="409"/>
      <c r="CY17" s="409"/>
      <c r="CZ17" s="409"/>
      <c r="DA17" s="409"/>
      <c r="DB17" s="409"/>
      <c r="DC17" s="409"/>
      <c r="DD17" s="409"/>
    </row>
    <row r="18" spans="1:108" ht="42.75" customHeight="1" x14ac:dyDescent="0.25">
      <c r="A18" s="423">
        <v>12</v>
      </c>
      <c r="B18" s="450" t="s">
        <v>364</v>
      </c>
      <c r="C18" s="401" t="s">
        <v>148</v>
      </c>
      <c r="D18" s="403">
        <v>132</v>
      </c>
      <c r="E18" s="403">
        <v>153</v>
      </c>
      <c r="F18" s="403">
        <v>285</v>
      </c>
      <c r="G18" s="403">
        <v>132</v>
      </c>
      <c r="H18" s="403">
        <v>153</v>
      </c>
      <c r="I18" s="403">
        <v>285</v>
      </c>
      <c r="J18" s="403">
        <v>117</v>
      </c>
      <c r="K18" s="403">
        <v>146</v>
      </c>
      <c r="L18" s="403">
        <v>263</v>
      </c>
      <c r="M18" s="396">
        <v>0.88636363636363635</v>
      </c>
      <c r="N18" s="396">
        <v>0.95424836601307195</v>
      </c>
      <c r="O18" s="396">
        <v>0.92280701754385963</v>
      </c>
      <c r="P18" s="403">
        <v>117</v>
      </c>
      <c r="Q18" s="403">
        <v>146</v>
      </c>
      <c r="R18" s="403">
        <v>263</v>
      </c>
      <c r="S18" s="403">
        <v>57</v>
      </c>
      <c r="T18" s="403">
        <v>103</v>
      </c>
      <c r="U18" s="403">
        <v>160</v>
      </c>
      <c r="V18" s="396">
        <v>0.48717948717948717</v>
      </c>
      <c r="W18" s="396">
        <v>0.70547945205479456</v>
      </c>
      <c r="X18" s="396">
        <v>0.60836501901140683</v>
      </c>
      <c r="Y18" s="403">
        <v>13</v>
      </c>
      <c r="Z18" s="403">
        <v>17</v>
      </c>
      <c r="AA18" s="403">
        <v>30</v>
      </c>
      <c r="AB18" s="403">
        <v>13</v>
      </c>
      <c r="AC18" s="403">
        <v>17</v>
      </c>
      <c r="AD18" s="403">
        <v>30</v>
      </c>
      <c r="AE18" s="403">
        <v>12</v>
      </c>
      <c r="AF18" s="403">
        <v>16</v>
      </c>
      <c r="AG18" s="403">
        <v>28</v>
      </c>
      <c r="AH18" s="396">
        <v>0.92307692307692313</v>
      </c>
      <c r="AI18" s="396">
        <v>0.94117647058823528</v>
      </c>
      <c r="AJ18" s="396">
        <v>0.93333333333333335</v>
      </c>
      <c r="AK18" s="403">
        <v>12</v>
      </c>
      <c r="AL18" s="403">
        <v>16</v>
      </c>
      <c r="AM18" s="403">
        <v>28</v>
      </c>
      <c r="AN18" s="403">
        <v>3</v>
      </c>
      <c r="AO18" s="403">
        <v>10</v>
      </c>
      <c r="AP18" s="403">
        <v>13</v>
      </c>
      <c r="AQ18" s="396">
        <v>0.25</v>
      </c>
      <c r="AR18" s="396">
        <v>0.625</v>
      </c>
      <c r="AS18" s="396">
        <v>0.4642857142857143</v>
      </c>
      <c r="AT18" s="387">
        <v>119</v>
      </c>
      <c r="AU18" s="387">
        <v>136</v>
      </c>
      <c r="AV18" s="387">
        <v>255</v>
      </c>
      <c r="AW18" s="387">
        <v>119</v>
      </c>
      <c r="AX18" s="387">
        <v>136</v>
      </c>
      <c r="AY18" s="387">
        <v>255</v>
      </c>
      <c r="AZ18" s="387">
        <v>105</v>
      </c>
      <c r="BA18" s="387">
        <v>130</v>
      </c>
      <c r="BB18" s="387">
        <v>235</v>
      </c>
      <c r="BC18" s="396">
        <v>0.88235294117647056</v>
      </c>
      <c r="BD18" s="396">
        <v>0.95588235294117652</v>
      </c>
      <c r="BE18" s="396">
        <v>0.92156862745098034</v>
      </c>
      <c r="BF18" s="387">
        <v>105</v>
      </c>
      <c r="BG18" s="387">
        <v>130</v>
      </c>
      <c r="BH18" s="387">
        <v>235</v>
      </c>
      <c r="BI18" s="387">
        <v>54</v>
      </c>
      <c r="BJ18" s="387">
        <v>93</v>
      </c>
      <c r="BK18" s="387">
        <v>147</v>
      </c>
      <c r="BL18" s="396">
        <v>0.51428571428571423</v>
      </c>
      <c r="BM18" s="396">
        <v>0.7153846153846154</v>
      </c>
      <c r="BN18" s="396">
        <v>0.62553191489361704</v>
      </c>
      <c r="BO18" s="409"/>
      <c r="BP18" s="409"/>
      <c r="BQ18" s="409"/>
      <c r="BR18" s="409"/>
      <c r="BS18" s="409"/>
      <c r="BT18" s="409"/>
      <c r="BU18" s="409"/>
      <c r="BV18" s="409"/>
      <c r="BW18" s="409"/>
      <c r="BX18" s="409"/>
      <c r="BY18" s="409"/>
      <c r="BZ18" s="409"/>
      <c r="CA18" s="409"/>
      <c r="CB18" s="409"/>
      <c r="CC18" s="409"/>
      <c r="CD18" s="409"/>
      <c r="CE18" s="409"/>
      <c r="CF18" s="409"/>
      <c r="CG18" s="409"/>
      <c r="CH18" s="409"/>
      <c r="CI18" s="409"/>
      <c r="CJ18" s="409"/>
      <c r="CK18" s="409"/>
      <c r="CL18" s="409"/>
      <c r="CM18" s="409"/>
      <c r="CN18" s="409"/>
      <c r="CO18" s="409"/>
      <c r="CP18" s="409"/>
      <c r="CQ18" s="409"/>
      <c r="CR18" s="409"/>
      <c r="CS18" s="409"/>
      <c r="CT18" s="409"/>
      <c r="CU18" s="409"/>
      <c r="CV18" s="409"/>
      <c r="CW18" s="409"/>
      <c r="CX18" s="409"/>
      <c r="CY18" s="409"/>
      <c r="CZ18" s="409"/>
      <c r="DA18" s="409"/>
      <c r="DB18" s="409"/>
      <c r="DC18" s="409"/>
      <c r="DD18" s="409"/>
    </row>
    <row r="19" spans="1:108" s="376" customFormat="1" ht="35.25" customHeight="1" x14ac:dyDescent="0.25">
      <c r="A19" s="423">
        <v>13</v>
      </c>
      <c r="B19" s="450" t="s">
        <v>365</v>
      </c>
      <c r="C19" s="401" t="s">
        <v>149</v>
      </c>
      <c r="D19" s="403">
        <v>31033</v>
      </c>
      <c r="E19" s="403">
        <v>27615</v>
      </c>
      <c r="F19" s="403">
        <v>58648</v>
      </c>
      <c r="G19" s="403">
        <v>30734</v>
      </c>
      <c r="H19" s="403">
        <v>27257</v>
      </c>
      <c r="I19" s="403">
        <v>57991</v>
      </c>
      <c r="J19" s="403">
        <v>18509</v>
      </c>
      <c r="K19" s="403">
        <v>19350</v>
      </c>
      <c r="L19" s="403">
        <v>37859</v>
      </c>
      <c r="M19" s="396">
        <v>0.6022320557037808</v>
      </c>
      <c r="N19" s="396">
        <v>0.70990938107642076</v>
      </c>
      <c r="O19" s="396">
        <v>0.65284268248521327</v>
      </c>
      <c r="P19" s="403">
        <v>18509</v>
      </c>
      <c r="Q19" s="403">
        <v>19350</v>
      </c>
      <c r="R19" s="403">
        <v>37859</v>
      </c>
      <c r="S19" s="403">
        <v>9226</v>
      </c>
      <c r="T19" s="403">
        <v>11254</v>
      </c>
      <c r="U19" s="403">
        <v>20480</v>
      </c>
      <c r="V19" s="396">
        <v>0.49846020854719325</v>
      </c>
      <c r="W19" s="396">
        <v>0.58160206718346252</v>
      </c>
      <c r="X19" s="396">
        <v>0.54095459468026097</v>
      </c>
      <c r="Y19" s="403">
        <v>2709</v>
      </c>
      <c r="Z19" s="403">
        <v>2721</v>
      </c>
      <c r="AA19" s="403">
        <v>5430</v>
      </c>
      <c r="AB19" s="403">
        <v>2641</v>
      </c>
      <c r="AC19" s="403">
        <v>2649</v>
      </c>
      <c r="AD19" s="403">
        <v>5290</v>
      </c>
      <c r="AE19" s="403">
        <v>1319</v>
      </c>
      <c r="AF19" s="403">
        <v>1751</v>
      </c>
      <c r="AG19" s="403">
        <v>3070</v>
      </c>
      <c r="AH19" s="396">
        <v>0.49943203332071184</v>
      </c>
      <c r="AI19" s="396">
        <v>0.66100415251038125</v>
      </c>
      <c r="AJ19" s="396">
        <v>0.58034026465028354</v>
      </c>
      <c r="AK19" s="403">
        <v>1319</v>
      </c>
      <c r="AL19" s="403">
        <v>1751</v>
      </c>
      <c r="AM19" s="403">
        <v>3070</v>
      </c>
      <c r="AN19" s="403">
        <v>555</v>
      </c>
      <c r="AO19" s="403">
        <v>958</v>
      </c>
      <c r="AP19" s="403">
        <v>1513</v>
      </c>
      <c r="AQ19" s="396">
        <v>0.42077331311599697</v>
      </c>
      <c r="AR19" s="396">
        <v>0.54711593375214163</v>
      </c>
      <c r="AS19" s="396">
        <v>0.49283387622149838</v>
      </c>
      <c r="AT19" s="387">
        <v>20978</v>
      </c>
      <c r="AU19" s="387">
        <v>20133</v>
      </c>
      <c r="AV19" s="387">
        <v>41111</v>
      </c>
      <c r="AW19" s="387">
        <v>20778</v>
      </c>
      <c r="AX19" s="387">
        <v>19874</v>
      </c>
      <c r="AY19" s="387">
        <v>40652</v>
      </c>
      <c r="AZ19" s="387">
        <v>11745</v>
      </c>
      <c r="BA19" s="387">
        <v>13721</v>
      </c>
      <c r="BB19" s="387">
        <v>25466</v>
      </c>
      <c r="BC19" s="396">
        <v>0.56526133410337853</v>
      </c>
      <c r="BD19" s="396">
        <v>0.690399516956828</v>
      </c>
      <c r="BE19" s="396">
        <v>0.62643904358949132</v>
      </c>
      <c r="BF19" s="387">
        <v>11745</v>
      </c>
      <c r="BG19" s="387">
        <v>13721</v>
      </c>
      <c r="BH19" s="387">
        <v>25466</v>
      </c>
      <c r="BI19" s="387">
        <v>5219</v>
      </c>
      <c r="BJ19" s="387">
        <v>7475</v>
      </c>
      <c r="BK19" s="387">
        <v>12694</v>
      </c>
      <c r="BL19" s="396">
        <v>0.44435930183056621</v>
      </c>
      <c r="BM19" s="396">
        <v>0.54478536549814149</v>
      </c>
      <c r="BN19" s="396">
        <v>0.49846854629702347</v>
      </c>
      <c r="BO19" s="387">
        <v>7295</v>
      </c>
      <c r="BP19" s="387">
        <v>4715</v>
      </c>
      <c r="BQ19" s="387">
        <v>12010</v>
      </c>
      <c r="BR19" s="387">
        <v>7265</v>
      </c>
      <c r="BS19" s="387">
        <v>4689</v>
      </c>
      <c r="BT19" s="387">
        <v>11954</v>
      </c>
      <c r="BU19" s="387">
        <v>5408</v>
      </c>
      <c r="BV19" s="387">
        <v>3836</v>
      </c>
      <c r="BW19" s="387">
        <v>9244</v>
      </c>
      <c r="BX19" s="396">
        <v>0.74439091534755675</v>
      </c>
      <c r="BY19" s="396">
        <v>0.81808487950522502</v>
      </c>
      <c r="BZ19" s="396">
        <v>0.77329764095700182</v>
      </c>
      <c r="CA19" s="387">
        <v>5408</v>
      </c>
      <c r="CB19" s="387">
        <v>3836</v>
      </c>
      <c r="CC19" s="387">
        <v>9244</v>
      </c>
      <c r="CD19" s="387">
        <v>3436</v>
      </c>
      <c r="CE19" s="387">
        <v>2790</v>
      </c>
      <c r="CF19" s="387">
        <v>6226</v>
      </c>
      <c r="CG19" s="396">
        <v>0.63535502958579881</v>
      </c>
      <c r="CH19" s="396">
        <v>0.72732012513034416</v>
      </c>
      <c r="CI19" s="396">
        <v>0.67351795759411515</v>
      </c>
      <c r="CJ19" s="387">
        <v>51</v>
      </c>
      <c r="CK19" s="387">
        <v>46</v>
      </c>
      <c r="CL19" s="387">
        <v>97</v>
      </c>
      <c r="CM19" s="387">
        <v>50</v>
      </c>
      <c r="CN19" s="387">
        <v>45</v>
      </c>
      <c r="CO19" s="387">
        <v>95</v>
      </c>
      <c r="CP19" s="387">
        <v>37</v>
      </c>
      <c r="CQ19" s="387">
        <v>42</v>
      </c>
      <c r="CR19" s="387">
        <v>79</v>
      </c>
      <c r="CS19" s="396">
        <v>0.74</v>
      </c>
      <c r="CT19" s="396">
        <v>0.93333333333333335</v>
      </c>
      <c r="CU19" s="396">
        <v>0.83157894736842108</v>
      </c>
      <c r="CV19" s="387">
        <v>37</v>
      </c>
      <c r="CW19" s="387">
        <v>42</v>
      </c>
      <c r="CX19" s="387">
        <v>79</v>
      </c>
      <c r="CY19" s="387">
        <v>16</v>
      </c>
      <c r="CZ19" s="387">
        <v>31</v>
      </c>
      <c r="DA19" s="387">
        <v>47</v>
      </c>
      <c r="DB19" s="396">
        <v>0.43243243243243246</v>
      </c>
      <c r="DC19" s="396">
        <v>0.73809523809523814</v>
      </c>
      <c r="DD19" s="396">
        <v>0.59493670886075944</v>
      </c>
    </row>
    <row r="20" spans="1:108" ht="40.5" customHeight="1" x14ac:dyDescent="0.25">
      <c r="A20" s="423">
        <v>14</v>
      </c>
      <c r="B20" s="450" t="s">
        <v>366</v>
      </c>
      <c r="C20" s="401" t="s">
        <v>140</v>
      </c>
      <c r="D20" s="401">
        <v>56510</v>
      </c>
      <c r="E20" s="401">
        <v>51896</v>
      </c>
      <c r="F20" s="401">
        <v>108406</v>
      </c>
      <c r="G20" s="406">
        <v>54760</v>
      </c>
      <c r="H20" s="406">
        <v>50907</v>
      </c>
      <c r="I20" s="406">
        <v>105667</v>
      </c>
      <c r="J20" s="406">
        <v>32377</v>
      </c>
      <c r="K20" s="406">
        <v>33806</v>
      </c>
      <c r="L20" s="406">
        <v>66183</v>
      </c>
      <c r="M20" s="396">
        <v>0.5912527392257122</v>
      </c>
      <c r="N20" s="396">
        <v>0.66407370302708857</v>
      </c>
      <c r="O20" s="396">
        <v>0.62633556361020948</v>
      </c>
      <c r="P20" s="406">
        <v>32377</v>
      </c>
      <c r="Q20" s="406">
        <v>33806</v>
      </c>
      <c r="R20" s="406">
        <v>66183</v>
      </c>
      <c r="S20" s="398">
        <v>21348</v>
      </c>
      <c r="T20" s="402">
        <v>26337</v>
      </c>
      <c r="U20" s="402">
        <v>47685</v>
      </c>
      <c r="V20" s="396">
        <v>0.65935695092195079</v>
      </c>
      <c r="W20" s="396">
        <v>0.77906288824469028</v>
      </c>
      <c r="X20" s="396">
        <v>0.72050224377861383</v>
      </c>
      <c r="Y20" s="401">
        <v>43996</v>
      </c>
      <c r="Z20" s="401">
        <v>44546</v>
      </c>
      <c r="AA20" s="401">
        <v>88542</v>
      </c>
      <c r="AB20" s="406">
        <v>43061</v>
      </c>
      <c r="AC20" s="406">
        <v>43819</v>
      </c>
      <c r="AD20" s="406">
        <v>86880</v>
      </c>
      <c r="AE20" s="406">
        <v>22819</v>
      </c>
      <c r="AF20" s="406">
        <v>27550</v>
      </c>
      <c r="AG20" s="406">
        <v>50369</v>
      </c>
      <c r="AH20" s="396">
        <v>0.52992266784329212</v>
      </c>
      <c r="AI20" s="396">
        <v>0.62872270019854404</v>
      </c>
      <c r="AJ20" s="396">
        <v>0.57975368324125232</v>
      </c>
      <c r="AK20" s="406">
        <v>22819</v>
      </c>
      <c r="AL20" s="406">
        <v>27550</v>
      </c>
      <c r="AM20" s="406">
        <v>50369</v>
      </c>
      <c r="AN20" s="398">
        <v>13390</v>
      </c>
      <c r="AO20" s="402">
        <v>20594</v>
      </c>
      <c r="AP20" s="402">
        <v>33984</v>
      </c>
      <c r="AQ20" s="396">
        <v>0.58679170866383279</v>
      </c>
      <c r="AR20" s="396">
        <v>0.74751361161524499</v>
      </c>
      <c r="AS20" s="396">
        <v>0.67470070876928268</v>
      </c>
      <c r="AT20" s="409"/>
      <c r="AU20" s="409"/>
      <c r="AV20" s="409"/>
      <c r="AW20" s="409"/>
      <c r="AX20" s="409"/>
      <c r="AY20" s="409"/>
      <c r="AZ20" s="409"/>
      <c r="BA20" s="409"/>
      <c r="BB20" s="409"/>
      <c r="BC20" s="409"/>
      <c r="BD20" s="409"/>
      <c r="BE20" s="409"/>
      <c r="BF20" s="409"/>
      <c r="BG20" s="409"/>
      <c r="BH20" s="409"/>
      <c r="BI20" s="409"/>
      <c r="BJ20" s="409"/>
      <c r="BK20" s="409"/>
      <c r="BL20" s="409"/>
      <c r="BM20" s="409"/>
      <c r="BN20" s="409"/>
      <c r="BO20" s="401">
        <v>12514</v>
      </c>
      <c r="BP20" s="401">
        <v>7350</v>
      </c>
      <c r="BQ20" s="401">
        <v>19864</v>
      </c>
      <c r="BR20" s="406">
        <v>11699</v>
      </c>
      <c r="BS20" s="406">
        <v>7088</v>
      </c>
      <c r="BT20" s="406">
        <v>18787</v>
      </c>
      <c r="BU20" s="406">
        <v>9558</v>
      </c>
      <c r="BV20" s="406">
        <v>6256</v>
      </c>
      <c r="BW20" s="406">
        <v>15814</v>
      </c>
      <c r="BX20" s="396">
        <v>0.81699290537652791</v>
      </c>
      <c r="BY20" s="396">
        <v>0.88261851015801351</v>
      </c>
      <c r="BZ20" s="396">
        <v>0.84175227550966092</v>
      </c>
      <c r="CA20" s="406">
        <v>9558</v>
      </c>
      <c r="CB20" s="406">
        <v>6256</v>
      </c>
      <c r="CC20" s="406">
        <v>15814</v>
      </c>
      <c r="CD20" s="398">
        <v>7958</v>
      </c>
      <c r="CE20" s="402">
        <v>5743</v>
      </c>
      <c r="CF20" s="402">
        <v>13701</v>
      </c>
      <c r="CG20" s="396">
        <v>0.83260096254446536</v>
      </c>
      <c r="CH20" s="396">
        <v>0.91799872122762149</v>
      </c>
      <c r="CI20" s="396">
        <v>0.86638421651701025</v>
      </c>
      <c r="CJ20" s="409"/>
      <c r="CK20" s="409"/>
      <c r="CL20" s="409"/>
      <c r="CM20" s="409"/>
      <c r="CN20" s="409"/>
      <c r="CO20" s="409"/>
      <c r="CP20" s="409"/>
      <c r="CQ20" s="409"/>
      <c r="CR20" s="409"/>
      <c r="CS20" s="409"/>
      <c r="CT20" s="409"/>
      <c r="CU20" s="409"/>
      <c r="CV20" s="409"/>
      <c r="CW20" s="409"/>
      <c r="CX20" s="409"/>
      <c r="CY20" s="409"/>
      <c r="CZ20" s="409"/>
      <c r="DA20" s="409"/>
      <c r="DB20" s="409"/>
      <c r="DC20" s="409"/>
      <c r="DD20" s="409"/>
    </row>
    <row r="21" spans="1:108" ht="38.25" customHeight="1" x14ac:dyDescent="0.25">
      <c r="A21" s="423">
        <v>15</v>
      </c>
      <c r="B21" s="461" t="s">
        <v>367</v>
      </c>
      <c r="C21" s="401" t="s">
        <v>368</v>
      </c>
      <c r="D21" s="403">
        <v>13868</v>
      </c>
      <c r="E21" s="403">
        <v>13372</v>
      </c>
      <c r="F21" s="403">
        <v>27240</v>
      </c>
      <c r="G21" s="403">
        <v>13730</v>
      </c>
      <c r="H21" s="403">
        <v>13260</v>
      </c>
      <c r="I21" s="403">
        <v>26990</v>
      </c>
      <c r="J21" s="403">
        <v>11092</v>
      </c>
      <c r="K21" s="403">
        <v>11555</v>
      </c>
      <c r="L21" s="403">
        <v>22647</v>
      </c>
      <c r="M21" s="396">
        <v>0.80786598689002187</v>
      </c>
      <c r="N21" s="396">
        <v>0.87141779788838614</v>
      </c>
      <c r="O21" s="396">
        <v>0.83908855131530191</v>
      </c>
      <c r="P21" s="403">
        <v>11092</v>
      </c>
      <c r="Q21" s="403">
        <v>11555</v>
      </c>
      <c r="R21" s="403">
        <v>22647</v>
      </c>
      <c r="S21" s="403">
        <v>7868</v>
      </c>
      <c r="T21" s="403">
        <v>9432</v>
      </c>
      <c r="U21" s="403">
        <v>17300</v>
      </c>
      <c r="V21" s="396">
        <v>0.70934006491164803</v>
      </c>
      <c r="W21" s="396">
        <v>0.81627001298139334</v>
      </c>
      <c r="X21" s="396">
        <v>0.76389808804698189</v>
      </c>
      <c r="Y21" s="403">
        <v>11555</v>
      </c>
      <c r="Z21" s="403">
        <v>11647</v>
      </c>
      <c r="AA21" s="403">
        <v>23202</v>
      </c>
      <c r="AB21" s="403">
        <v>11434</v>
      </c>
      <c r="AC21" s="403">
        <v>11546</v>
      </c>
      <c r="AD21" s="403">
        <v>22980</v>
      </c>
      <c r="AE21" s="403">
        <v>8939</v>
      </c>
      <c r="AF21" s="403">
        <v>9882</v>
      </c>
      <c r="AG21" s="403">
        <v>18821</v>
      </c>
      <c r="AH21" s="396">
        <v>0.78179114920412807</v>
      </c>
      <c r="AI21" s="396">
        <v>0.85588082452797509</v>
      </c>
      <c r="AJ21" s="396">
        <v>0.81901653611836378</v>
      </c>
      <c r="AK21" s="403">
        <v>8939</v>
      </c>
      <c r="AL21" s="403">
        <v>9882</v>
      </c>
      <c r="AM21" s="403">
        <v>18821</v>
      </c>
      <c r="AN21" s="403">
        <v>5908</v>
      </c>
      <c r="AO21" s="403">
        <v>7812</v>
      </c>
      <c r="AP21" s="403">
        <v>13720</v>
      </c>
      <c r="AQ21" s="396">
        <v>0.66092404072043853</v>
      </c>
      <c r="AR21" s="396">
        <v>0.79052823315118392</v>
      </c>
      <c r="AS21" s="396">
        <v>0.72897295574092769</v>
      </c>
      <c r="AT21" s="409"/>
      <c r="AU21" s="409"/>
      <c r="AV21" s="409"/>
      <c r="AW21" s="409"/>
      <c r="AX21" s="409"/>
      <c r="AY21" s="409"/>
      <c r="AZ21" s="409"/>
      <c r="BA21" s="409"/>
      <c r="BB21" s="409"/>
      <c r="BC21" s="409"/>
      <c r="BD21" s="409"/>
      <c r="BE21" s="409"/>
      <c r="BF21" s="409"/>
      <c r="BG21" s="409"/>
      <c r="BH21" s="409"/>
      <c r="BI21" s="409"/>
      <c r="BJ21" s="409"/>
      <c r="BK21" s="409"/>
      <c r="BL21" s="409"/>
      <c r="BM21" s="409"/>
      <c r="BN21" s="409"/>
      <c r="BO21" s="387">
        <v>2313</v>
      </c>
      <c r="BP21" s="387">
        <v>1725</v>
      </c>
      <c r="BQ21" s="387">
        <v>4038</v>
      </c>
      <c r="BR21" s="387">
        <v>2296</v>
      </c>
      <c r="BS21" s="387">
        <v>1714</v>
      </c>
      <c r="BT21" s="387">
        <v>4010</v>
      </c>
      <c r="BU21" s="387">
        <v>2153</v>
      </c>
      <c r="BV21" s="387">
        <v>1673</v>
      </c>
      <c r="BW21" s="387">
        <v>3826</v>
      </c>
      <c r="BX21" s="396">
        <v>0.93771777003484325</v>
      </c>
      <c r="BY21" s="396">
        <v>0.97607934655775963</v>
      </c>
      <c r="BZ21" s="396">
        <v>0.95411471321695762</v>
      </c>
      <c r="CA21" s="387">
        <v>2153</v>
      </c>
      <c r="CB21" s="387">
        <v>1673</v>
      </c>
      <c r="CC21" s="387">
        <v>3826</v>
      </c>
      <c r="CD21" s="387">
        <v>1960</v>
      </c>
      <c r="CE21" s="387">
        <v>1620</v>
      </c>
      <c r="CF21" s="387">
        <v>3580</v>
      </c>
      <c r="CG21" s="396">
        <v>0.9103576405016256</v>
      </c>
      <c r="CH21" s="396">
        <v>0.96832038254632402</v>
      </c>
      <c r="CI21" s="396">
        <v>0.93570308416100367</v>
      </c>
      <c r="CJ21" s="409"/>
      <c r="CK21" s="409"/>
      <c r="CL21" s="409"/>
      <c r="CM21" s="409"/>
      <c r="CN21" s="409"/>
      <c r="CO21" s="409"/>
      <c r="CP21" s="409"/>
      <c r="CQ21" s="409"/>
      <c r="CR21" s="409"/>
      <c r="CS21" s="409"/>
      <c r="CT21" s="409"/>
      <c r="CU21" s="409"/>
      <c r="CV21" s="409"/>
      <c r="CW21" s="409"/>
      <c r="CX21" s="409"/>
      <c r="CY21" s="409"/>
      <c r="CZ21" s="409"/>
      <c r="DA21" s="409"/>
      <c r="DB21" s="409"/>
      <c r="DC21" s="409"/>
      <c r="DD21" s="409"/>
    </row>
    <row r="22" spans="1:108" ht="45" customHeight="1" x14ac:dyDescent="0.25">
      <c r="A22" s="423">
        <v>16</v>
      </c>
      <c r="B22" s="461" t="s">
        <v>370</v>
      </c>
      <c r="C22" s="401" t="s">
        <v>369</v>
      </c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5"/>
      <c r="AA22" s="405"/>
      <c r="AB22" s="405"/>
      <c r="AC22" s="405"/>
      <c r="AD22" s="405"/>
      <c r="AE22" s="405"/>
      <c r="AF22" s="405"/>
      <c r="AG22" s="405"/>
      <c r="AH22" s="405"/>
      <c r="AI22" s="405"/>
      <c r="AJ22" s="405"/>
      <c r="AK22" s="405"/>
      <c r="AL22" s="405"/>
      <c r="AM22" s="405"/>
      <c r="AN22" s="405"/>
      <c r="AO22" s="405"/>
      <c r="AP22" s="405"/>
      <c r="AQ22" s="405"/>
      <c r="AR22" s="405"/>
      <c r="AS22" s="405"/>
      <c r="AT22" s="409"/>
      <c r="AU22" s="409"/>
      <c r="AV22" s="409"/>
      <c r="AW22" s="409"/>
      <c r="AX22" s="409"/>
      <c r="AY22" s="409"/>
      <c r="AZ22" s="409"/>
      <c r="BA22" s="409"/>
      <c r="BB22" s="409"/>
      <c r="BC22" s="409"/>
      <c r="BD22" s="409"/>
      <c r="BE22" s="409"/>
      <c r="BF22" s="409"/>
      <c r="BG22" s="409"/>
      <c r="BH22" s="409"/>
      <c r="BI22" s="409"/>
      <c r="BJ22" s="409"/>
      <c r="BK22" s="409"/>
      <c r="BL22" s="409"/>
      <c r="BM22" s="409"/>
      <c r="BN22" s="409"/>
      <c r="BO22" s="409"/>
      <c r="BP22" s="409"/>
      <c r="BQ22" s="409"/>
      <c r="BR22" s="409"/>
      <c r="BS22" s="409"/>
      <c r="BT22" s="409"/>
      <c r="BU22" s="409"/>
      <c r="BV22" s="409"/>
      <c r="BW22" s="409"/>
      <c r="BX22" s="409"/>
      <c r="BY22" s="409"/>
      <c r="BZ22" s="409"/>
      <c r="CA22" s="409"/>
      <c r="CB22" s="409"/>
      <c r="CC22" s="409"/>
      <c r="CD22" s="409"/>
      <c r="CE22" s="409"/>
      <c r="CF22" s="409"/>
      <c r="CG22" s="409"/>
      <c r="CH22" s="409"/>
      <c r="CI22" s="409"/>
      <c r="CJ22" s="409"/>
      <c r="CK22" s="409"/>
      <c r="CL22" s="409"/>
      <c r="CM22" s="409"/>
      <c r="CN22" s="409"/>
      <c r="CO22" s="409"/>
      <c r="CP22" s="409"/>
      <c r="CQ22" s="409"/>
      <c r="CR22" s="409"/>
      <c r="CS22" s="409"/>
      <c r="CT22" s="409"/>
      <c r="CU22" s="409"/>
      <c r="CV22" s="409"/>
      <c r="CW22" s="409"/>
      <c r="CX22" s="409"/>
      <c r="CY22" s="409"/>
      <c r="CZ22" s="409"/>
      <c r="DA22" s="409"/>
      <c r="DB22" s="409"/>
      <c r="DC22" s="409"/>
      <c r="DD22" s="409"/>
    </row>
    <row r="23" spans="1:108" ht="39" customHeight="1" x14ac:dyDescent="0.25">
      <c r="A23" s="423">
        <v>17</v>
      </c>
      <c r="B23" s="450" t="s">
        <v>371</v>
      </c>
      <c r="C23" s="401" t="s">
        <v>152</v>
      </c>
      <c r="D23" s="403">
        <v>7386</v>
      </c>
      <c r="E23" s="403">
        <v>8689</v>
      </c>
      <c r="F23" s="403">
        <v>16075</v>
      </c>
      <c r="G23" s="403">
        <v>7205</v>
      </c>
      <c r="H23" s="403">
        <v>8469</v>
      </c>
      <c r="I23" s="403">
        <v>15674</v>
      </c>
      <c r="J23" s="403">
        <v>6899</v>
      </c>
      <c r="K23" s="403">
        <v>8083</v>
      </c>
      <c r="L23" s="403">
        <v>14982</v>
      </c>
      <c r="M23" s="396">
        <v>0.95752949340735605</v>
      </c>
      <c r="N23" s="396">
        <v>0.95442200968237101</v>
      </c>
      <c r="O23" s="396">
        <v>0.95585045297945648</v>
      </c>
      <c r="P23" s="403">
        <v>6899</v>
      </c>
      <c r="Q23" s="403">
        <v>8083</v>
      </c>
      <c r="R23" s="403">
        <v>14982</v>
      </c>
      <c r="S23" s="403">
        <v>4267</v>
      </c>
      <c r="T23" s="403">
        <v>4502</v>
      </c>
      <c r="U23" s="403">
        <v>8769</v>
      </c>
      <c r="V23" s="396">
        <v>0.61849543412088703</v>
      </c>
      <c r="W23" s="396">
        <v>0.55697142150191759</v>
      </c>
      <c r="X23" s="396">
        <v>0.58530236283540249</v>
      </c>
      <c r="Y23" s="405"/>
      <c r="Z23" s="405"/>
      <c r="AA23" s="405"/>
      <c r="AB23" s="405"/>
      <c r="AC23" s="405"/>
      <c r="AD23" s="405"/>
      <c r="AE23" s="405"/>
      <c r="AF23" s="405"/>
      <c r="AG23" s="405"/>
      <c r="AH23" s="405"/>
      <c r="AI23" s="405"/>
      <c r="AJ23" s="405"/>
      <c r="AK23" s="405"/>
      <c r="AL23" s="405"/>
      <c r="AM23" s="405"/>
      <c r="AN23" s="405"/>
      <c r="AO23" s="405"/>
      <c r="AP23" s="405"/>
      <c r="AQ23" s="405"/>
      <c r="AR23" s="405"/>
      <c r="AS23" s="405"/>
      <c r="AT23" s="409"/>
      <c r="AU23" s="409"/>
      <c r="AV23" s="409"/>
      <c r="AW23" s="409"/>
      <c r="AX23" s="409"/>
      <c r="AY23" s="409"/>
      <c r="AZ23" s="409"/>
      <c r="BA23" s="409"/>
      <c r="BB23" s="409"/>
      <c r="BC23" s="409"/>
      <c r="BD23" s="409"/>
      <c r="BE23" s="409"/>
      <c r="BF23" s="409"/>
      <c r="BG23" s="409"/>
      <c r="BH23" s="409"/>
      <c r="BI23" s="409"/>
      <c r="BJ23" s="409"/>
      <c r="BK23" s="409"/>
      <c r="BL23" s="409"/>
      <c r="BM23" s="409"/>
      <c r="BN23" s="409"/>
      <c r="BO23" s="409"/>
      <c r="BP23" s="409"/>
      <c r="BQ23" s="409"/>
      <c r="BR23" s="409"/>
      <c r="BS23" s="409"/>
      <c r="BT23" s="409"/>
      <c r="BU23" s="409"/>
      <c r="BV23" s="409"/>
      <c r="BW23" s="409"/>
      <c r="BX23" s="409"/>
      <c r="BY23" s="409"/>
      <c r="BZ23" s="409"/>
      <c r="CA23" s="409"/>
      <c r="CB23" s="409"/>
      <c r="CC23" s="409"/>
      <c r="CD23" s="409"/>
      <c r="CE23" s="409"/>
      <c r="CF23" s="409"/>
      <c r="CG23" s="409"/>
      <c r="CH23" s="409"/>
      <c r="CI23" s="409"/>
      <c r="CJ23" s="409"/>
      <c r="CK23" s="409"/>
      <c r="CL23" s="409"/>
      <c r="CM23" s="409"/>
      <c r="CN23" s="409"/>
      <c r="CO23" s="409"/>
      <c r="CP23" s="409"/>
      <c r="CQ23" s="409"/>
      <c r="CR23" s="409"/>
      <c r="CS23" s="409"/>
      <c r="CT23" s="409"/>
      <c r="CU23" s="409"/>
      <c r="CV23" s="409"/>
      <c r="CW23" s="409"/>
      <c r="CX23" s="409"/>
      <c r="CY23" s="409"/>
      <c r="CZ23" s="409"/>
      <c r="DA23" s="409"/>
      <c r="DB23" s="409"/>
      <c r="DC23" s="409"/>
      <c r="DD23" s="409"/>
    </row>
    <row r="24" spans="1:108" ht="36.75" customHeight="1" x14ac:dyDescent="0.25">
      <c r="A24" s="423">
        <v>18</v>
      </c>
      <c r="B24" s="450" t="s">
        <v>372</v>
      </c>
      <c r="C24" s="401" t="s">
        <v>153</v>
      </c>
      <c r="D24" s="403">
        <v>111694</v>
      </c>
      <c r="E24" s="403">
        <v>96680</v>
      </c>
      <c r="F24" s="403">
        <v>208374</v>
      </c>
      <c r="G24" s="403">
        <v>107918</v>
      </c>
      <c r="H24" s="403">
        <v>93832</v>
      </c>
      <c r="I24" s="403">
        <v>201750</v>
      </c>
      <c r="J24" s="403">
        <v>76007</v>
      </c>
      <c r="K24" s="403">
        <v>76494</v>
      </c>
      <c r="L24" s="403">
        <v>152501</v>
      </c>
      <c r="M24" s="396">
        <v>0.70430326729553916</v>
      </c>
      <c r="N24" s="396">
        <v>0.81522295165828285</v>
      </c>
      <c r="O24" s="396">
        <v>0.75589095415117724</v>
      </c>
      <c r="P24" s="403">
        <v>76007</v>
      </c>
      <c r="Q24" s="403">
        <v>76494</v>
      </c>
      <c r="R24" s="403">
        <v>152501</v>
      </c>
      <c r="S24" s="403">
        <v>54948</v>
      </c>
      <c r="T24" s="403">
        <v>62723</v>
      </c>
      <c r="U24" s="403">
        <v>117671</v>
      </c>
      <c r="V24" s="396">
        <v>0.72293341402765532</v>
      </c>
      <c r="W24" s="396">
        <v>0.81997280832483599</v>
      </c>
      <c r="X24" s="396">
        <v>0.77160805502914731</v>
      </c>
      <c r="Y24" s="403">
        <v>55348</v>
      </c>
      <c r="Z24" s="403">
        <v>51452</v>
      </c>
      <c r="AA24" s="403">
        <v>106800</v>
      </c>
      <c r="AB24" s="403">
        <v>53263</v>
      </c>
      <c r="AC24" s="403">
        <v>49699</v>
      </c>
      <c r="AD24" s="403">
        <v>102962</v>
      </c>
      <c r="AE24" s="403">
        <v>36414</v>
      </c>
      <c r="AF24" s="403">
        <v>40071</v>
      </c>
      <c r="AG24" s="403">
        <v>76485</v>
      </c>
      <c r="AH24" s="396">
        <v>0.68366408200814821</v>
      </c>
      <c r="AI24" s="396">
        <v>0.80627376808386486</v>
      </c>
      <c r="AJ24" s="396">
        <v>0.74284687554631801</v>
      </c>
      <c r="AK24" s="403">
        <v>36414</v>
      </c>
      <c r="AL24" s="403">
        <v>40071</v>
      </c>
      <c r="AM24" s="403">
        <v>76485</v>
      </c>
      <c r="AN24" s="403">
        <v>25577</v>
      </c>
      <c r="AO24" s="403">
        <v>32478</v>
      </c>
      <c r="AP24" s="403">
        <v>58055</v>
      </c>
      <c r="AQ24" s="396">
        <v>0.70239468336354149</v>
      </c>
      <c r="AR24" s="396">
        <v>0.81051134236729805</v>
      </c>
      <c r="AS24" s="396">
        <v>0.75903771981434265</v>
      </c>
      <c r="AT24" s="387">
        <v>31326</v>
      </c>
      <c r="AU24" s="387">
        <v>27079</v>
      </c>
      <c r="AV24" s="387">
        <v>58405</v>
      </c>
      <c r="AW24" s="387">
        <v>30240</v>
      </c>
      <c r="AX24" s="387">
        <v>26385</v>
      </c>
      <c r="AY24" s="387">
        <v>56625</v>
      </c>
      <c r="AZ24" s="387">
        <v>20832</v>
      </c>
      <c r="BA24" s="387">
        <v>21167</v>
      </c>
      <c r="BB24" s="387">
        <v>41999</v>
      </c>
      <c r="BC24" s="396">
        <v>0.68888888888888888</v>
      </c>
      <c r="BD24" s="396">
        <v>0.80223611900701153</v>
      </c>
      <c r="BE24" s="396">
        <v>0.74170419426048562</v>
      </c>
      <c r="BF24" s="387">
        <v>20832</v>
      </c>
      <c r="BG24" s="387">
        <v>21167</v>
      </c>
      <c r="BH24" s="387">
        <v>41999</v>
      </c>
      <c r="BI24" s="387">
        <v>14234</v>
      </c>
      <c r="BJ24" s="387">
        <v>16810</v>
      </c>
      <c r="BK24" s="387">
        <v>31044</v>
      </c>
      <c r="BL24" s="396">
        <v>0.68327572964669736</v>
      </c>
      <c r="BM24" s="396">
        <v>0.79416072187839559</v>
      </c>
      <c r="BN24" s="396">
        <v>0.73916045620133808</v>
      </c>
      <c r="BO24" s="387">
        <v>25020</v>
      </c>
      <c r="BP24" s="387">
        <v>18149</v>
      </c>
      <c r="BQ24" s="387">
        <v>43169</v>
      </c>
      <c r="BR24" s="387">
        <v>24415</v>
      </c>
      <c r="BS24" s="387">
        <v>17748</v>
      </c>
      <c r="BT24" s="387">
        <v>42163</v>
      </c>
      <c r="BU24" s="387">
        <v>18761</v>
      </c>
      <c r="BV24" s="387">
        <v>15256</v>
      </c>
      <c r="BW24" s="387">
        <v>34017</v>
      </c>
      <c r="BX24" s="396">
        <v>0.76842105263157889</v>
      </c>
      <c r="BY24" s="396">
        <v>0.85958981293666892</v>
      </c>
      <c r="BZ24" s="396">
        <v>0.80679742902544882</v>
      </c>
      <c r="CA24" s="387">
        <v>18761</v>
      </c>
      <c r="CB24" s="387">
        <v>15256</v>
      </c>
      <c r="CC24" s="387">
        <v>34017</v>
      </c>
      <c r="CD24" s="387">
        <v>15137</v>
      </c>
      <c r="CE24" s="387">
        <v>13435</v>
      </c>
      <c r="CF24" s="387">
        <v>28572</v>
      </c>
      <c r="CG24" s="396">
        <v>0.80683332444965616</v>
      </c>
      <c r="CH24" s="396">
        <v>0.8806371263765076</v>
      </c>
      <c r="CI24" s="396">
        <v>0.83993297468912598</v>
      </c>
      <c r="CJ24" s="409"/>
      <c r="CK24" s="409"/>
      <c r="CL24" s="409"/>
      <c r="CM24" s="409"/>
      <c r="CN24" s="409"/>
      <c r="CO24" s="409"/>
      <c r="CP24" s="409"/>
      <c r="CQ24" s="409"/>
      <c r="CR24" s="409"/>
      <c r="CS24" s="409"/>
      <c r="CT24" s="409"/>
      <c r="CU24" s="409"/>
      <c r="CV24" s="409"/>
      <c r="CW24" s="409"/>
      <c r="CX24" s="409"/>
      <c r="CY24" s="409"/>
      <c r="CZ24" s="409"/>
      <c r="DA24" s="409"/>
      <c r="DB24" s="409"/>
      <c r="DC24" s="409"/>
      <c r="DD24" s="409"/>
    </row>
    <row r="25" spans="1:108" ht="31.5" customHeight="1" x14ac:dyDescent="0.25">
      <c r="A25" s="423">
        <v>19</v>
      </c>
      <c r="B25" s="450" t="s">
        <v>373</v>
      </c>
      <c r="C25" s="401" t="s">
        <v>286</v>
      </c>
      <c r="D25" s="403">
        <v>21346</v>
      </c>
      <c r="E25" s="403">
        <v>20227</v>
      </c>
      <c r="F25" s="403">
        <v>41573</v>
      </c>
      <c r="G25" s="403">
        <v>21287</v>
      </c>
      <c r="H25" s="403">
        <v>20201</v>
      </c>
      <c r="I25" s="403">
        <v>41488</v>
      </c>
      <c r="J25" s="403">
        <v>21194</v>
      </c>
      <c r="K25" s="403">
        <v>20161</v>
      </c>
      <c r="L25" s="403">
        <v>41355</v>
      </c>
      <c r="M25" s="396">
        <v>0.995631136374313</v>
      </c>
      <c r="N25" s="396">
        <v>0.99801990000495022</v>
      </c>
      <c r="O25" s="396">
        <v>0.99679425376012343</v>
      </c>
      <c r="P25" s="403">
        <v>21194</v>
      </c>
      <c r="Q25" s="403">
        <v>20161</v>
      </c>
      <c r="R25" s="403">
        <v>41355</v>
      </c>
      <c r="S25" s="403">
        <v>13075</v>
      </c>
      <c r="T25" s="403">
        <v>16205</v>
      </c>
      <c r="U25" s="403">
        <v>29280</v>
      </c>
      <c r="V25" s="396">
        <v>0.61691988298575073</v>
      </c>
      <c r="W25" s="396">
        <v>0.80377957442587178</v>
      </c>
      <c r="X25" s="396">
        <v>0.70801595937613349</v>
      </c>
      <c r="Y25" s="403">
        <v>8627</v>
      </c>
      <c r="Z25" s="403">
        <v>8114</v>
      </c>
      <c r="AA25" s="403">
        <v>16741</v>
      </c>
      <c r="AB25" s="403">
        <v>8603</v>
      </c>
      <c r="AC25" s="403">
        <v>8108</v>
      </c>
      <c r="AD25" s="403">
        <v>16711</v>
      </c>
      <c r="AE25" s="403">
        <v>8564</v>
      </c>
      <c r="AF25" s="403">
        <v>8091</v>
      </c>
      <c r="AG25" s="403">
        <v>16655</v>
      </c>
      <c r="AH25" s="396">
        <v>0.99546669766360574</v>
      </c>
      <c r="AI25" s="396">
        <v>0.99790330537740501</v>
      </c>
      <c r="AJ25" s="396">
        <v>0.99664891388905508</v>
      </c>
      <c r="AK25" s="403">
        <v>8564</v>
      </c>
      <c r="AL25" s="403">
        <v>8091</v>
      </c>
      <c r="AM25" s="403">
        <v>16655</v>
      </c>
      <c r="AN25" s="403">
        <v>5003</v>
      </c>
      <c r="AO25" s="403">
        <v>6334</v>
      </c>
      <c r="AP25" s="403">
        <v>11337</v>
      </c>
      <c r="AQ25" s="396">
        <v>0.58418963101354504</v>
      </c>
      <c r="AR25" s="396">
        <v>0.78284513657149923</v>
      </c>
      <c r="AS25" s="396">
        <v>0.68069648754127887</v>
      </c>
      <c r="AT25" s="387">
        <v>12347</v>
      </c>
      <c r="AU25" s="387">
        <v>11703</v>
      </c>
      <c r="AV25" s="387">
        <v>24050</v>
      </c>
      <c r="AW25" s="387">
        <v>12312</v>
      </c>
      <c r="AX25" s="387">
        <v>11683</v>
      </c>
      <c r="AY25" s="387">
        <v>23995</v>
      </c>
      <c r="AZ25" s="387">
        <v>12258</v>
      </c>
      <c r="BA25" s="387">
        <v>11660</v>
      </c>
      <c r="BB25" s="387">
        <v>23918</v>
      </c>
      <c r="BC25" s="396">
        <v>0.99561403508771928</v>
      </c>
      <c r="BD25" s="396">
        <v>0.99803132756997348</v>
      </c>
      <c r="BE25" s="396">
        <v>0.99679099812460925</v>
      </c>
      <c r="BF25" s="387">
        <v>12258</v>
      </c>
      <c r="BG25" s="387">
        <v>11660</v>
      </c>
      <c r="BH25" s="387">
        <v>23918</v>
      </c>
      <c r="BI25" s="387">
        <v>7722</v>
      </c>
      <c r="BJ25" s="387">
        <v>9473</v>
      </c>
      <c r="BK25" s="387">
        <v>17195</v>
      </c>
      <c r="BL25" s="396">
        <v>0.62995594713656389</v>
      </c>
      <c r="BM25" s="396">
        <v>0.81243567753001711</v>
      </c>
      <c r="BN25" s="396">
        <v>0.71891462496864289</v>
      </c>
      <c r="BO25" s="387">
        <v>372</v>
      </c>
      <c r="BP25" s="387">
        <v>410</v>
      </c>
      <c r="BQ25" s="387">
        <v>782</v>
      </c>
      <c r="BR25" s="387">
        <v>372</v>
      </c>
      <c r="BS25" s="387">
        <v>410</v>
      </c>
      <c r="BT25" s="387">
        <v>782</v>
      </c>
      <c r="BU25" s="387">
        <v>372</v>
      </c>
      <c r="BV25" s="387">
        <v>410</v>
      </c>
      <c r="BW25" s="387">
        <v>782</v>
      </c>
      <c r="BX25" s="396">
        <v>1</v>
      </c>
      <c r="BY25" s="396">
        <v>1</v>
      </c>
      <c r="BZ25" s="396">
        <v>1</v>
      </c>
      <c r="CA25" s="387">
        <v>372</v>
      </c>
      <c r="CB25" s="387">
        <v>410</v>
      </c>
      <c r="CC25" s="387">
        <v>782</v>
      </c>
      <c r="CD25" s="387">
        <v>350</v>
      </c>
      <c r="CE25" s="387">
        <v>398</v>
      </c>
      <c r="CF25" s="387">
        <v>748</v>
      </c>
      <c r="CG25" s="396">
        <v>0.94086021505376349</v>
      </c>
      <c r="CH25" s="396">
        <v>0.97073170731707314</v>
      </c>
      <c r="CI25" s="396">
        <v>0.95652173913043481</v>
      </c>
      <c r="CJ25" s="409"/>
      <c r="CK25" s="409"/>
      <c r="CL25" s="409"/>
      <c r="CM25" s="409"/>
      <c r="CN25" s="409"/>
      <c r="CO25" s="409"/>
      <c r="CP25" s="409"/>
      <c r="CQ25" s="409"/>
      <c r="CR25" s="409"/>
      <c r="CS25" s="409"/>
      <c r="CT25" s="409"/>
      <c r="CU25" s="409"/>
      <c r="CV25" s="409"/>
      <c r="CW25" s="409"/>
      <c r="CX25" s="409"/>
      <c r="CY25" s="409"/>
      <c r="CZ25" s="409"/>
      <c r="DA25" s="409"/>
      <c r="DB25" s="409"/>
      <c r="DC25" s="409"/>
      <c r="DD25" s="409"/>
    </row>
    <row r="26" spans="1:108" s="377" customFormat="1" ht="31.5" x14ac:dyDescent="0.25">
      <c r="A26" s="423">
        <v>20</v>
      </c>
      <c r="B26" s="489" t="s">
        <v>375</v>
      </c>
      <c r="C26" s="401" t="s">
        <v>349</v>
      </c>
      <c r="D26" s="403">
        <v>110562</v>
      </c>
      <c r="E26" s="403">
        <v>93253</v>
      </c>
      <c r="F26" s="403">
        <v>203815</v>
      </c>
      <c r="G26" s="403">
        <v>105775</v>
      </c>
      <c r="H26" s="403">
        <v>90680</v>
      </c>
      <c r="I26" s="403">
        <v>196455</v>
      </c>
      <c r="J26" s="403">
        <v>52354</v>
      </c>
      <c r="K26" s="403">
        <v>48829</v>
      </c>
      <c r="L26" s="403">
        <v>101183</v>
      </c>
      <c r="M26" s="396">
        <v>0.49495627511226659</v>
      </c>
      <c r="N26" s="396">
        <v>0.53847595941773274</v>
      </c>
      <c r="O26" s="396">
        <v>0.51504415769514644</v>
      </c>
      <c r="P26" s="403">
        <v>52354</v>
      </c>
      <c r="Q26" s="403">
        <v>48829</v>
      </c>
      <c r="R26" s="403">
        <v>101183</v>
      </c>
      <c r="S26" s="403">
        <v>25234</v>
      </c>
      <c r="T26" s="403">
        <v>26873</v>
      </c>
      <c r="U26" s="403">
        <v>52107</v>
      </c>
      <c r="V26" s="396">
        <v>0.48198800473698283</v>
      </c>
      <c r="W26" s="396">
        <v>0.55034917774273484</v>
      </c>
      <c r="X26" s="396">
        <v>0.5149778124783807</v>
      </c>
      <c r="Y26" s="403">
        <v>81842</v>
      </c>
      <c r="Z26" s="403">
        <v>75180</v>
      </c>
      <c r="AA26" s="403">
        <v>157022</v>
      </c>
      <c r="AB26" s="403">
        <v>78338</v>
      </c>
      <c r="AC26" s="403">
        <v>73178</v>
      </c>
      <c r="AD26" s="403">
        <v>151516</v>
      </c>
      <c r="AE26" s="403">
        <v>36793</v>
      </c>
      <c r="AF26" s="403">
        <v>37471</v>
      </c>
      <c r="AG26" s="403">
        <v>74264</v>
      </c>
      <c r="AH26" s="396">
        <v>0.46966989200643366</v>
      </c>
      <c r="AI26" s="396">
        <v>0.51205280275492637</v>
      </c>
      <c r="AJ26" s="396">
        <v>0.49013965521793079</v>
      </c>
      <c r="AK26" s="403">
        <v>36793</v>
      </c>
      <c r="AL26" s="403">
        <v>37471</v>
      </c>
      <c r="AM26" s="403">
        <v>74264</v>
      </c>
      <c r="AN26" s="403">
        <v>16454</v>
      </c>
      <c r="AO26" s="403">
        <v>19341</v>
      </c>
      <c r="AP26" s="403">
        <v>35795</v>
      </c>
      <c r="AQ26" s="396">
        <v>0.4472046313157394</v>
      </c>
      <c r="AR26" s="396">
        <v>0.51615916308611998</v>
      </c>
      <c r="AS26" s="396">
        <v>0.48199666056231821</v>
      </c>
      <c r="AT26" s="409"/>
      <c r="AU26" s="409"/>
      <c r="AV26" s="409"/>
      <c r="AW26" s="409"/>
      <c r="AX26" s="409"/>
      <c r="AY26" s="409"/>
      <c r="AZ26" s="409"/>
      <c r="BA26" s="409"/>
      <c r="BB26" s="409"/>
      <c r="BC26" s="409"/>
      <c r="BD26" s="409"/>
      <c r="BE26" s="409"/>
      <c r="BF26" s="409"/>
      <c r="BG26" s="409"/>
      <c r="BH26" s="409"/>
      <c r="BI26" s="409"/>
      <c r="BJ26" s="409"/>
      <c r="BK26" s="409"/>
      <c r="BL26" s="409"/>
      <c r="BM26" s="409"/>
      <c r="BN26" s="409"/>
      <c r="BO26" s="387">
        <v>28720</v>
      </c>
      <c r="BP26" s="387">
        <v>18073</v>
      </c>
      <c r="BQ26" s="387">
        <v>46793</v>
      </c>
      <c r="BR26" s="387">
        <v>27437</v>
      </c>
      <c r="BS26" s="387">
        <v>17502</v>
      </c>
      <c r="BT26" s="387">
        <v>44939</v>
      </c>
      <c r="BU26" s="387">
        <v>15561</v>
      </c>
      <c r="BV26" s="387">
        <v>11358</v>
      </c>
      <c r="BW26" s="387">
        <v>26919</v>
      </c>
      <c r="BX26" s="396">
        <v>0.56715384335022045</v>
      </c>
      <c r="BY26" s="396">
        <v>0.64895440521083303</v>
      </c>
      <c r="BZ26" s="396">
        <v>0.59901199403636041</v>
      </c>
      <c r="CA26" s="387">
        <v>15561</v>
      </c>
      <c r="CB26" s="387">
        <v>11358</v>
      </c>
      <c r="CC26" s="387">
        <v>26919</v>
      </c>
      <c r="CD26" s="387">
        <v>8780</v>
      </c>
      <c r="CE26" s="387">
        <v>7532</v>
      </c>
      <c r="CF26" s="387">
        <v>16312</v>
      </c>
      <c r="CG26" s="396">
        <v>0.56423109054688003</v>
      </c>
      <c r="CH26" s="396">
        <v>0.66314491988026059</v>
      </c>
      <c r="CI26" s="396">
        <v>0.60596604628700923</v>
      </c>
      <c r="CJ26" s="409"/>
      <c r="CK26" s="409"/>
      <c r="CL26" s="409"/>
      <c r="CM26" s="409"/>
      <c r="CN26" s="409"/>
      <c r="CO26" s="409"/>
      <c r="CP26" s="409"/>
      <c r="CQ26" s="409"/>
      <c r="CR26" s="409"/>
      <c r="CS26" s="409"/>
      <c r="CT26" s="409"/>
      <c r="CU26" s="409"/>
      <c r="CV26" s="409"/>
      <c r="CW26" s="409"/>
      <c r="CX26" s="409"/>
      <c r="CY26" s="409"/>
      <c r="CZ26" s="409"/>
      <c r="DA26" s="409"/>
      <c r="DB26" s="409"/>
      <c r="DC26" s="409"/>
      <c r="DD26" s="409"/>
    </row>
    <row r="27" spans="1:108" s="362" customFormat="1" ht="52.5" customHeight="1" x14ac:dyDescent="0.25">
      <c r="A27" s="423">
        <v>21</v>
      </c>
      <c r="B27" s="491"/>
      <c r="C27" s="401" t="s">
        <v>157</v>
      </c>
      <c r="D27" s="403">
        <v>261</v>
      </c>
      <c r="E27" s="403">
        <v>176</v>
      </c>
      <c r="F27" s="403">
        <v>437</v>
      </c>
      <c r="G27" s="403">
        <v>241</v>
      </c>
      <c r="H27" s="403">
        <v>168</v>
      </c>
      <c r="I27" s="403">
        <v>409</v>
      </c>
      <c r="J27" s="403">
        <v>154</v>
      </c>
      <c r="K27" s="403">
        <v>113</v>
      </c>
      <c r="L27" s="403">
        <v>267</v>
      </c>
      <c r="M27" s="396">
        <v>0.63900414937759331</v>
      </c>
      <c r="N27" s="396">
        <v>0.67261904761904767</v>
      </c>
      <c r="O27" s="396">
        <v>0.65281173594132025</v>
      </c>
      <c r="P27" s="403">
        <v>154</v>
      </c>
      <c r="Q27" s="403">
        <v>113</v>
      </c>
      <c r="R27" s="403">
        <v>267</v>
      </c>
      <c r="S27" s="403">
        <v>104</v>
      </c>
      <c r="T27" s="403">
        <v>80</v>
      </c>
      <c r="U27" s="403">
        <v>184</v>
      </c>
      <c r="V27" s="396">
        <v>0.67532467532467533</v>
      </c>
      <c r="W27" s="396">
        <v>0.70796460176991149</v>
      </c>
      <c r="X27" s="396">
        <v>0.68913857677902624</v>
      </c>
      <c r="Y27" s="403">
        <v>24</v>
      </c>
      <c r="Z27" s="403">
        <v>24</v>
      </c>
      <c r="AA27" s="403">
        <v>48</v>
      </c>
      <c r="AB27" s="403">
        <v>19</v>
      </c>
      <c r="AC27" s="403">
        <v>22</v>
      </c>
      <c r="AD27" s="403">
        <v>41</v>
      </c>
      <c r="AE27" s="403">
        <v>3</v>
      </c>
      <c r="AF27" s="403">
        <v>8</v>
      </c>
      <c r="AG27" s="403">
        <v>11</v>
      </c>
      <c r="AH27" s="396">
        <v>0.15789473684210525</v>
      </c>
      <c r="AI27" s="396">
        <v>0.36363636363636365</v>
      </c>
      <c r="AJ27" s="396">
        <v>0.26829268292682928</v>
      </c>
      <c r="AK27" s="403">
        <v>3</v>
      </c>
      <c r="AL27" s="403">
        <v>8</v>
      </c>
      <c r="AM27" s="403">
        <v>11</v>
      </c>
      <c r="AN27" s="403">
        <v>2</v>
      </c>
      <c r="AO27" s="403">
        <v>3</v>
      </c>
      <c r="AP27" s="403">
        <v>5</v>
      </c>
      <c r="AQ27" s="396">
        <v>0.66666666666666663</v>
      </c>
      <c r="AR27" s="396">
        <v>0.375</v>
      </c>
      <c r="AS27" s="396">
        <v>0.45454545454545453</v>
      </c>
      <c r="AT27" s="409"/>
      <c r="AU27" s="409"/>
      <c r="AV27" s="409"/>
      <c r="AW27" s="409"/>
      <c r="AX27" s="409"/>
      <c r="AY27" s="409"/>
      <c r="AZ27" s="409"/>
      <c r="BA27" s="409"/>
      <c r="BB27" s="409"/>
      <c r="BC27" s="409"/>
      <c r="BD27" s="409"/>
      <c r="BE27" s="409"/>
      <c r="BF27" s="409"/>
      <c r="BG27" s="409"/>
      <c r="BH27" s="409"/>
      <c r="BI27" s="409"/>
      <c r="BJ27" s="409"/>
      <c r="BK27" s="409"/>
      <c r="BL27" s="409"/>
      <c r="BM27" s="409"/>
      <c r="BN27" s="409"/>
      <c r="BO27" s="387">
        <v>237</v>
      </c>
      <c r="BP27" s="387">
        <v>152</v>
      </c>
      <c r="BQ27" s="387">
        <v>389</v>
      </c>
      <c r="BR27" s="387">
        <v>222</v>
      </c>
      <c r="BS27" s="387">
        <v>146</v>
      </c>
      <c r="BT27" s="387">
        <v>368</v>
      </c>
      <c r="BU27" s="387">
        <v>151</v>
      </c>
      <c r="BV27" s="387">
        <v>105</v>
      </c>
      <c r="BW27" s="387">
        <v>256</v>
      </c>
      <c r="BX27" s="396">
        <v>0.68018018018018023</v>
      </c>
      <c r="BY27" s="396">
        <v>0.71917808219178081</v>
      </c>
      <c r="BZ27" s="396">
        <v>0.69565217391304346</v>
      </c>
      <c r="CA27" s="387">
        <v>151</v>
      </c>
      <c r="CB27" s="387">
        <v>105</v>
      </c>
      <c r="CC27" s="387">
        <v>256</v>
      </c>
      <c r="CD27" s="387">
        <v>102</v>
      </c>
      <c r="CE27" s="387">
        <v>77</v>
      </c>
      <c r="CF27" s="387">
        <v>179</v>
      </c>
      <c r="CG27" s="396">
        <v>0.67549668874172186</v>
      </c>
      <c r="CH27" s="396">
        <v>0.73333333333333328</v>
      </c>
      <c r="CI27" s="396">
        <v>0.69921875</v>
      </c>
      <c r="CJ27" s="409"/>
      <c r="CK27" s="409"/>
      <c r="CL27" s="409"/>
      <c r="CM27" s="409"/>
      <c r="CN27" s="409"/>
      <c r="CO27" s="409"/>
      <c r="CP27" s="409"/>
      <c r="CQ27" s="409"/>
      <c r="CR27" s="409"/>
      <c r="CS27" s="409"/>
      <c r="CT27" s="409"/>
      <c r="CU27" s="409"/>
      <c r="CV27" s="409"/>
      <c r="CW27" s="409"/>
      <c r="CX27" s="409"/>
      <c r="CY27" s="409"/>
      <c r="CZ27" s="409"/>
      <c r="DA27" s="409"/>
      <c r="DB27" s="409"/>
      <c r="DC27" s="409"/>
      <c r="DD27" s="409"/>
    </row>
    <row r="28" spans="1:108" ht="59.25" customHeight="1" x14ac:dyDescent="0.25">
      <c r="A28" s="423">
        <v>22</v>
      </c>
      <c r="B28" s="450" t="s">
        <v>374</v>
      </c>
      <c r="C28" s="401" t="s">
        <v>348</v>
      </c>
      <c r="D28" s="403">
        <v>121294</v>
      </c>
      <c r="E28" s="403">
        <v>105788</v>
      </c>
      <c r="F28" s="403">
        <v>227082</v>
      </c>
      <c r="G28" s="403">
        <v>119767</v>
      </c>
      <c r="H28" s="403">
        <v>104687</v>
      </c>
      <c r="I28" s="403">
        <v>224454</v>
      </c>
      <c r="J28" s="403">
        <v>113155</v>
      </c>
      <c r="K28" s="403">
        <v>101811</v>
      </c>
      <c r="L28" s="403">
        <v>214966</v>
      </c>
      <c r="M28" s="396">
        <v>0.94479280603171156</v>
      </c>
      <c r="N28" s="396">
        <v>0.97252762998271036</v>
      </c>
      <c r="O28" s="396">
        <v>0.95772853234961286</v>
      </c>
      <c r="P28" s="403">
        <v>113155</v>
      </c>
      <c r="Q28" s="403">
        <v>101811</v>
      </c>
      <c r="R28" s="403">
        <v>214966</v>
      </c>
      <c r="S28" s="403">
        <v>74615</v>
      </c>
      <c r="T28" s="403">
        <v>80183</v>
      </c>
      <c r="U28" s="403">
        <v>154798</v>
      </c>
      <c r="V28" s="396">
        <v>0.65940524059917816</v>
      </c>
      <c r="W28" s="396">
        <v>0.78756715875494787</v>
      </c>
      <c r="X28" s="396">
        <v>0.72010457467692568</v>
      </c>
      <c r="Y28" s="405"/>
      <c r="Z28" s="405"/>
      <c r="AA28" s="405"/>
      <c r="AB28" s="405"/>
      <c r="AC28" s="405"/>
      <c r="AD28" s="405"/>
      <c r="AE28" s="405"/>
      <c r="AF28" s="405"/>
      <c r="AG28" s="405"/>
      <c r="AH28" s="405"/>
      <c r="AI28" s="405"/>
      <c r="AJ28" s="405"/>
      <c r="AK28" s="405"/>
      <c r="AL28" s="405"/>
      <c r="AM28" s="405"/>
      <c r="AN28" s="405"/>
      <c r="AO28" s="405"/>
      <c r="AP28" s="405"/>
      <c r="AQ28" s="405"/>
      <c r="AR28" s="405"/>
      <c r="AS28" s="405"/>
      <c r="AT28" s="409"/>
      <c r="AU28" s="409"/>
      <c r="AV28" s="409"/>
      <c r="AW28" s="409"/>
      <c r="AX28" s="409"/>
      <c r="AY28" s="409"/>
      <c r="AZ28" s="409"/>
      <c r="BA28" s="409"/>
      <c r="BB28" s="409"/>
      <c r="BC28" s="409"/>
      <c r="BD28" s="409"/>
      <c r="BE28" s="409"/>
      <c r="BF28" s="409"/>
      <c r="BG28" s="409"/>
      <c r="BH28" s="409"/>
      <c r="BI28" s="409"/>
      <c r="BJ28" s="409"/>
      <c r="BK28" s="409"/>
      <c r="BL28" s="409"/>
      <c r="BM28" s="409"/>
      <c r="BN28" s="409"/>
      <c r="BO28" s="409"/>
      <c r="BP28" s="409"/>
      <c r="BQ28" s="409"/>
      <c r="BR28" s="409"/>
      <c r="BS28" s="409"/>
      <c r="BT28" s="409"/>
      <c r="BU28" s="409"/>
      <c r="BV28" s="409"/>
      <c r="BW28" s="409"/>
      <c r="BX28" s="409"/>
      <c r="BY28" s="409"/>
      <c r="BZ28" s="409"/>
      <c r="CA28" s="409"/>
      <c r="CB28" s="409"/>
      <c r="CC28" s="409"/>
      <c r="CD28" s="409"/>
      <c r="CE28" s="409"/>
      <c r="CF28" s="409"/>
      <c r="CG28" s="409"/>
      <c r="CH28" s="409"/>
      <c r="CI28" s="409"/>
      <c r="CJ28" s="409"/>
      <c r="CK28" s="409"/>
      <c r="CL28" s="409"/>
      <c r="CM28" s="409"/>
      <c r="CN28" s="409"/>
      <c r="CO28" s="409"/>
      <c r="CP28" s="409"/>
      <c r="CQ28" s="409"/>
      <c r="CR28" s="409"/>
      <c r="CS28" s="409"/>
      <c r="CT28" s="409"/>
      <c r="CU28" s="409"/>
      <c r="CV28" s="409"/>
      <c r="CW28" s="409"/>
      <c r="CX28" s="409"/>
      <c r="CY28" s="409"/>
      <c r="CZ28" s="409"/>
      <c r="DA28" s="409"/>
      <c r="DB28" s="409"/>
      <c r="DC28" s="409"/>
      <c r="DD28" s="409"/>
    </row>
    <row r="29" spans="1:108" ht="23.25" customHeight="1" x14ac:dyDescent="0.25">
      <c r="A29" s="423">
        <v>23</v>
      </c>
      <c r="B29" s="450" t="s">
        <v>376</v>
      </c>
      <c r="C29" s="401" t="s">
        <v>141</v>
      </c>
      <c r="D29" s="403">
        <v>873</v>
      </c>
      <c r="E29" s="403">
        <v>909</v>
      </c>
      <c r="F29" s="403">
        <v>1782</v>
      </c>
      <c r="G29" s="403">
        <v>864</v>
      </c>
      <c r="H29" s="403">
        <v>905</v>
      </c>
      <c r="I29" s="403">
        <v>1769</v>
      </c>
      <c r="J29" s="403">
        <v>752</v>
      </c>
      <c r="K29" s="403">
        <v>794</v>
      </c>
      <c r="L29" s="403">
        <v>1546</v>
      </c>
      <c r="M29" s="396">
        <v>0.87037037037037035</v>
      </c>
      <c r="N29" s="396">
        <v>0.8773480662983425</v>
      </c>
      <c r="O29" s="396">
        <v>0.87394007914075744</v>
      </c>
      <c r="P29" s="403">
        <v>752</v>
      </c>
      <c r="Q29" s="403">
        <v>794</v>
      </c>
      <c r="R29" s="403">
        <v>1546</v>
      </c>
      <c r="S29" s="403">
        <v>566</v>
      </c>
      <c r="T29" s="403">
        <v>634</v>
      </c>
      <c r="U29" s="403">
        <v>1200</v>
      </c>
      <c r="V29" s="396">
        <v>0.75265957446808507</v>
      </c>
      <c r="W29" s="396">
        <v>0.79848866498740556</v>
      </c>
      <c r="X29" s="396">
        <v>0.77619663648124193</v>
      </c>
      <c r="Y29" s="403">
        <v>147</v>
      </c>
      <c r="Z29" s="403">
        <v>178</v>
      </c>
      <c r="AA29" s="403">
        <v>325</v>
      </c>
      <c r="AB29" s="403">
        <v>141</v>
      </c>
      <c r="AC29" s="403">
        <v>176</v>
      </c>
      <c r="AD29" s="403">
        <v>317</v>
      </c>
      <c r="AE29" s="403">
        <v>87</v>
      </c>
      <c r="AF29" s="403">
        <v>120</v>
      </c>
      <c r="AG29" s="403">
        <v>207</v>
      </c>
      <c r="AH29" s="396">
        <v>0.61702127659574468</v>
      </c>
      <c r="AI29" s="396">
        <v>0.68181818181818177</v>
      </c>
      <c r="AJ29" s="396">
        <v>0.65299684542586756</v>
      </c>
      <c r="AK29" s="403">
        <v>87</v>
      </c>
      <c r="AL29" s="403">
        <v>120</v>
      </c>
      <c r="AM29" s="403">
        <v>207</v>
      </c>
      <c r="AN29" s="403">
        <v>35</v>
      </c>
      <c r="AO29" s="403">
        <v>68</v>
      </c>
      <c r="AP29" s="403">
        <v>103</v>
      </c>
      <c r="AQ29" s="396">
        <v>0.40229885057471265</v>
      </c>
      <c r="AR29" s="396">
        <v>0.56666666666666665</v>
      </c>
      <c r="AS29" s="396">
        <v>0.49758454106280192</v>
      </c>
      <c r="AT29" s="387">
        <v>44</v>
      </c>
      <c r="AU29" s="387">
        <v>77</v>
      </c>
      <c r="AV29" s="387">
        <v>121</v>
      </c>
      <c r="AW29" s="387">
        <v>42</v>
      </c>
      <c r="AX29" s="387">
        <v>76</v>
      </c>
      <c r="AY29" s="387">
        <v>118</v>
      </c>
      <c r="AZ29" s="387">
        <v>38</v>
      </c>
      <c r="BA29" s="387">
        <v>64</v>
      </c>
      <c r="BB29" s="387">
        <v>102</v>
      </c>
      <c r="BC29" s="396">
        <v>0.90476190476190477</v>
      </c>
      <c r="BD29" s="396">
        <v>0.84210526315789469</v>
      </c>
      <c r="BE29" s="396">
        <v>0.86440677966101698</v>
      </c>
      <c r="BF29" s="387">
        <v>38</v>
      </c>
      <c r="BG29" s="387">
        <v>64</v>
      </c>
      <c r="BH29" s="387">
        <v>102</v>
      </c>
      <c r="BI29" s="387">
        <v>28</v>
      </c>
      <c r="BJ29" s="387">
        <v>46</v>
      </c>
      <c r="BK29" s="387">
        <v>74</v>
      </c>
      <c r="BL29" s="396">
        <v>0.73684210526315785</v>
      </c>
      <c r="BM29" s="396">
        <v>0.71875</v>
      </c>
      <c r="BN29" s="396">
        <v>0.72549019607843135</v>
      </c>
      <c r="BO29" s="387">
        <v>682</v>
      </c>
      <c r="BP29" s="387">
        <v>654</v>
      </c>
      <c r="BQ29" s="387">
        <v>1336</v>
      </c>
      <c r="BR29" s="387">
        <v>681</v>
      </c>
      <c r="BS29" s="387">
        <v>653</v>
      </c>
      <c r="BT29" s="387">
        <v>1334</v>
      </c>
      <c r="BU29" s="387">
        <v>627</v>
      </c>
      <c r="BV29" s="387">
        <v>610</v>
      </c>
      <c r="BW29" s="387">
        <v>1237</v>
      </c>
      <c r="BX29" s="396">
        <v>0.92070484581497802</v>
      </c>
      <c r="BY29" s="396">
        <v>0.93415007656967841</v>
      </c>
      <c r="BZ29" s="396">
        <v>0.92728635682158922</v>
      </c>
      <c r="CA29" s="387">
        <v>627</v>
      </c>
      <c r="CB29" s="387">
        <v>610</v>
      </c>
      <c r="CC29" s="387">
        <v>1237</v>
      </c>
      <c r="CD29" s="387">
        <v>503</v>
      </c>
      <c r="CE29" s="387">
        <v>520</v>
      </c>
      <c r="CF29" s="387">
        <v>1023</v>
      </c>
      <c r="CG29" s="396">
        <v>0.80223285486443385</v>
      </c>
      <c r="CH29" s="396">
        <v>0.85245901639344257</v>
      </c>
      <c r="CI29" s="396">
        <v>0.82700080840743739</v>
      </c>
      <c r="CJ29" s="409"/>
      <c r="CK29" s="409"/>
      <c r="CL29" s="409"/>
      <c r="CM29" s="409"/>
      <c r="CN29" s="409"/>
      <c r="CO29" s="409"/>
      <c r="CP29" s="409"/>
      <c r="CQ29" s="409"/>
      <c r="CR29" s="409"/>
      <c r="CS29" s="409"/>
      <c r="CT29" s="409"/>
      <c r="CU29" s="409"/>
      <c r="CV29" s="409"/>
      <c r="CW29" s="409"/>
      <c r="CX29" s="409"/>
      <c r="CY29" s="409"/>
      <c r="CZ29" s="409"/>
      <c r="DA29" s="409"/>
      <c r="DB29" s="409"/>
      <c r="DC29" s="409"/>
      <c r="DD29" s="409"/>
    </row>
    <row r="30" spans="1:108" ht="38.25" customHeight="1" x14ac:dyDescent="0.25">
      <c r="A30" s="423">
        <v>24</v>
      </c>
      <c r="B30" s="450" t="s">
        <v>377</v>
      </c>
      <c r="C30" s="401" t="s">
        <v>158</v>
      </c>
      <c r="D30" s="403">
        <v>149</v>
      </c>
      <c r="E30" s="403">
        <v>150</v>
      </c>
      <c r="F30" s="403">
        <v>299</v>
      </c>
      <c r="G30" s="403">
        <v>149</v>
      </c>
      <c r="H30" s="403">
        <v>149</v>
      </c>
      <c r="I30" s="403">
        <v>298</v>
      </c>
      <c r="J30" s="403">
        <v>111</v>
      </c>
      <c r="K30" s="403">
        <v>114</v>
      </c>
      <c r="L30" s="403">
        <v>225</v>
      </c>
      <c r="M30" s="396">
        <v>0.74496644295302017</v>
      </c>
      <c r="N30" s="396">
        <v>0.7651006711409396</v>
      </c>
      <c r="O30" s="396">
        <v>0.75503355704697983</v>
      </c>
      <c r="P30" s="403">
        <v>111</v>
      </c>
      <c r="Q30" s="403">
        <v>114</v>
      </c>
      <c r="R30" s="403">
        <v>225</v>
      </c>
      <c r="S30" s="403">
        <v>17</v>
      </c>
      <c r="T30" s="403">
        <v>38</v>
      </c>
      <c r="U30" s="403">
        <v>55</v>
      </c>
      <c r="V30" s="396">
        <v>0.15315315315315314</v>
      </c>
      <c r="W30" s="396">
        <v>0.33333333333333331</v>
      </c>
      <c r="X30" s="396">
        <v>0.24444444444444444</v>
      </c>
      <c r="Y30" s="403">
        <v>2</v>
      </c>
      <c r="Z30" s="403">
        <v>4</v>
      </c>
      <c r="AA30" s="403">
        <v>6</v>
      </c>
      <c r="AB30" s="403">
        <v>2</v>
      </c>
      <c r="AC30" s="403">
        <v>4</v>
      </c>
      <c r="AD30" s="403">
        <v>6</v>
      </c>
      <c r="AE30" s="403">
        <v>2</v>
      </c>
      <c r="AF30" s="403">
        <v>4</v>
      </c>
      <c r="AG30" s="403">
        <v>6</v>
      </c>
      <c r="AH30" s="396">
        <v>1</v>
      </c>
      <c r="AI30" s="396">
        <v>1</v>
      </c>
      <c r="AJ30" s="396">
        <v>1</v>
      </c>
      <c r="AK30" s="403">
        <v>2</v>
      </c>
      <c r="AL30" s="403">
        <v>4</v>
      </c>
      <c r="AM30" s="403">
        <v>6</v>
      </c>
      <c r="AN30" s="403">
        <v>0</v>
      </c>
      <c r="AO30" s="403">
        <v>1</v>
      </c>
      <c r="AP30" s="403">
        <v>1</v>
      </c>
      <c r="AQ30" s="396">
        <v>0</v>
      </c>
      <c r="AR30" s="396">
        <v>0.25</v>
      </c>
      <c r="AS30" s="396">
        <v>0.16666666666666666</v>
      </c>
      <c r="AT30" s="409"/>
      <c r="AU30" s="409"/>
      <c r="AV30" s="409"/>
      <c r="AW30" s="409"/>
      <c r="AX30" s="409"/>
      <c r="AY30" s="409"/>
      <c r="AZ30" s="409"/>
      <c r="BA30" s="409"/>
      <c r="BB30" s="409"/>
      <c r="BC30" s="409"/>
      <c r="BD30" s="409"/>
      <c r="BE30" s="409"/>
      <c r="BF30" s="409"/>
      <c r="BG30" s="409"/>
      <c r="BH30" s="409"/>
      <c r="BI30" s="409"/>
      <c r="BJ30" s="409"/>
      <c r="BK30" s="409"/>
      <c r="BL30" s="409"/>
      <c r="BM30" s="409"/>
      <c r="BN30" s="409"/>
      <c r="BO30" s="409"/>
      <c r="BP30" s="409"/>
      <c r="BQ30" s="409"/>
      <c r="BR30" s="409"/>
      <c r="BS30" s="409"/>
      <c r="BT30" s="409"/>
      <c r="BU30" s="409"/>
      <c r="BV30" s="409"/>
      <c r="BW30" s="409"/>
      <c r="BX30" s="409"/>
      <c r="BY30" s="409"/>
      <c r="BZ30" s="409"/>
      <c r="CA30" s="409"/>
      <c r="CB30" s="409"/>
      <c r="CC30" s="409"/>
      <c r="CD30" s="409"/>
      <c r="CE30" s="409"/>
      <c r="CF30" s="409"/>
      <c r="CG30" s="409"/>
      <c r="CH30" s="409"/>
      <c r="CI30" s="409"/>
      <c r="CJ30" s="409"/>
      <c r="CK30" s="409"/>
      <c r="CL30" s="409"/>
      <c r="CM30" s="409"/>
      <c r="CN30" s="409"/>
      <c r="CO30" s="409"/>
      <c r="CP30" s="409"/>
      <c r="CQ30" s="409"/>
      <c r="CR30" s="409"/>
      <c r="CS30" s="409"/>
      <c r="CT30" s="409"/>
      <c r="CU30" s="409"/>
      <c r="CV30" s="409"/>
      <c r="CW30" s="409"/>
      <c r="CX30" s="409"/>
      <c r="CY30" s="409"/>
      <c r="CZ30" s="409"/>
      <c r="DA30" s="409"/>
      <c r="DB30" s="409"/>
      <c r="DC30" s="409"/>
      <c r="DD30" s="409"/>
    </row>
    <row r="31" spans="1:108" ht="39.75" customHeight="1" x14ac:dyDescent="0.25">
      <c r="A31" s="423">
        <v>25</v>
      </c>
      <c r="B31" s="450" t="s">
        <v>378</v>
      </c>
      <c r="C31" s="401" t="s">
        <v>159</v>
      </c>
      <c r="D31" s="403">
        <v>19</v>
      </c>
      <c r="E31" s="403">
        <v>23</v>
      </c>
      <c r="F31" s="403">
        <v>42</v>
      </c>
      <c r="G31" s="403">
        <v>18</v>
      </c>
      <c r="H31" s="403">
        <v>20</v>
      </c>
      <c r="I31" s="403">
        <v>38</v>
      </c>
      <c r="J31" s="403">
        <v>16</v>
      </c>
      <c r="K31" s="403">
        <v>15</v>
      </c>
      <c r="L31" s="403">
        <v>31</v>
      </c>
      <c r="M31" s="396">
        <v>0.88888888888888884</v>
      </c>
      <c r="N31" s="396">
        <v>0.75</v>
      </c>
      <c r="O31" s="396">
        <v>0.81578947368421051</v>
      </c>
      <c r="P31" s="403">
        <v>16</v>
      </c>
      <c r="Q31" s="403">
        <v>15</v>
      </c>
      <c r="R31" s="403">
        <v>31</v>
      </c>
      <c r="S31" s="403">
        <v>8</v>
      </c>
      <c r="T31" s="403">
        <v>7</v>
      </c>
      <c r="U31" s="403">
        <v>15</v>
      </c>
      <c r="V31" s="396">
        <v>0.5</v>
      </c>
      <c r="W31" s="396">
        <v>0.46666666666666667</v>
      </c>
      <c r="X31" s="396">
        <v>0.4838709677419355</v>
      </c>
      <c r="Y31" s="403">
        <v>6</v>
      </c>
      <c r="Z31" s="403">
        <v>1</v>
      </c>
      <c r="AA31" s="403">
        <v>7</v>
      </c>
      <c r="AB31" s="403">
        <v>5</v>
      </c>
      <c r="AC31" s="403">
        <v>1</v>
      </c>
      <c r="AD31" s="403">
        <v>6</v>
      </c>
      <c r="AE31" s="403">
        <v>3</v>
      </c>
      <c r="AF31" s="403">
        <v>1</v>
      </c>
      <c r="AG31" s="403">
        <v>4</v>
      </c>
      <c r="AH31" s="396">
        <v>0.6</v>
      </c>
      <c r="AI31" s="396">
        <v>1</v>
      </c>
      <c r="AJ31" s="396">
        <v>0.66666666666666663</v>
      </c>
      <c r="AK31" s="403">
        <v>3</v>
      </c>
      <c r="AL31" s="403">
        <v>1</v>
      </c>
      <c r="AM31" s="403">
        <v>4</v>
      </c>
      <c r="AN31" s="403">
        <v>1</v>
      </c>
      <c r="AO31" s="403">
        <v>0</v>
      </c>
      <c r="AP31" s="403">
        <v>1</v>
      </c>
      <c r="AQ31" s="396">
        <v>0.33333333333333331</v>
      </c>
      <c r="AR31" s="396">
        <v>0</v>
      </c>
      <c r="AS31" s="396">
        <v>0.25</v>
      </c>
      <c r="AT31" s="387">
        <v>5</v>
      </c>
      <c r="AU31" s="387">
        <v>3</v>
      </c>
      <c r="AV31" s="387">
        <v>8</v>
      </c>
      <c r="AW31" s="387">
        <v>5</v>
      </c>
      <c r="AX31" s="387">
        <v>1</v>
      </c>
      <c r="AY31" s="387">
        <v>6</v>
      </c>
      <c r="AZ31" s="387">
        <v>5</v>
      </c>
      <c r="BA31" s="387">
        <v>0</v>
      </c>
      <c r="BB31" s="387">
        <v>5</v>
      </c>
      <c r="BC31" s="396">
        <v>1</v>
      </c>
      <c r="BD31" s="396">
        <v>0</v>
      </c>
      <c r="BE31" s="396">
        <v>0.83333333333333337</v>
      </c>
      <c r="BF31" s="387">
        <v>5</v>
      </c>
      <c r="BG31" s="387">
        <v>0</v>
      </c>
      <c r="BH31" s="387">
        <v>5</v>
      </c>
      <c r="BI31" s="387">
        <v>3</v>
      </c>
      <c r="BJ31" s="387">
        <v>0</v>
      </c>
      <c r="BK31" s="387">
        <v>3</v>
      </c>
      <c r="BL31" s="396">
        <v>0.6</v>
      </c>
      <c r="BM31" s="409"/>
      <c r="BN31" s="396">
        <v>0.6</v>
      </c>
      <c r="BO31" s="387">
        <v>8</v>
      </c>
      <c r="BP31" s="387">
        <v>17</v>
      </c>
      <c r="BQ31" s="387">
        <v>25</v>
      </c>
      <c r="BR31" s="387">
        <v>8</v>
      </c>
      <c r="BS31" s="387">
        <v>16</v>
      </c>
      <c r="BT31" s="387">
        <v>24</v>
      </c>
      <c r="BU31" s="387">
        <v>8</v>
      </c>
      <c r="BV31" s="387">
        <v>13</v>
      </c>
      <c r="BW31" s="387">
        <v>21</v>
      </c>
      <c r="BX31" s="396">
        <v>1</v>
      </c>
      <c r="BY31" s="396">
        <v>0.8125</v>
      </c>
      <c r="BZ31" s="396">
        <v>0.875</v>
      </c>
      <c r="CA31" s="387">
        <v>8</v>
      </c>
      <c r="CB31" s="387">
        <v>13</v>
      </c>
      <c r="CC31" s="387">
        <v>21</v>
      </c>
      <c r="CD31" s="387">
        <v>4</v>
      </c>
      <c r="CE31" s="387">
        <v>7</v>
      </c>
      <c r="CF31" s="387">
        <v>11</v>
      </c>
      <c r="CG31" s="396">
        <v>0.5</v>
      </c>
      <c r="CH31" s="396">
        <v>0.53846153846153844</v>
      </c>
      <c r="CI31" s="396">
        <v>0.52380952380952384</v>
      </c>
      <c r="CJ31" s="387">
        <v>0</v>
      </c>
      <c r="CK31" s="387">
        <v>2</v>
      </c>
      <c r="CL31" s="387">
        <v>2</v>
      </c>
      <c r="CM31" s="387">
        <v>0</v>
      </c>
      <c r="CN31" s="387">
        <v>2</v>
      </c>
      <c r="CO31" s="387">
        <v>2</v>
      </c>
      <c r="CP31" s="387">
        <v>0</v>
      </c>
      <c r="CQ31" s="387">
        <v>1</v>
      </c>
      <c r="CR31" s="387">
        <v>1</v>
      </c>
      <c r="CS31" s="409"/>
      <c r="CT31" s="396">
        <v>0.5</v>
      </c>
      <c r="CU31" s="396">
        <v>0.5</v>
      </c>
      <c r="CV31" s="387">
        <v>0</v>
      </c>
      <c r="CW31" s="387">
        <v>1</v>
      </c>
      <c r="CX31" s="387">
        <v>1</v>
      </c>
      <c r="CY31" s="387">
        <v>0</v>
      </c>
      <c r="CZ31" s="387">
        <v>0</v>
      </c>
      <c r="DA31" s="387">
        <v>0</v>
      </c>
      <c r="DB31" s="409"/>
      <c r="DC31" s="396">
        <v>0</v>
      </c>
      <c r="DD31" s="396">
        <v>0</v>
      </c>
    </row>
    <row r="32" spans="1:108" ht="36" customHeight="1" x14ac:dyDescent="0.25">
      <c r="A32" s="423">
        <v>26</v>
      </c>
      <c r="B32" s="450" t="s">
        <v>379</v>
      </c>
      <c r="C32" s="401" t="s">
        <v>160</v>
      </c>
      <c r="D32" s="403">
        <v>200</v>
      </c>
      <c r="E32" s="403">
        <v>178</v>
      </c>
      <c r="F32" s="403">
        <v>378</v>
      </c>
      <c r="G32" s="403">
        <v>193</v>
      </c>
      <c r="H32" s="403">
        <v>171</v>
      </c>
      <c r="I32" s="403">
        <v>364</v>
      </c>
      <c r="J32" s="403">
        <v>119</v>
      </c>
      <c r="K32" s="403">
        <v>117</v>
      </c>
      <c r="L32" s="403">
        <v>236</v>
      </c>
      <c r="M32" s="396">
        <v>0.61658031088082899</v>
      </c>
      <c r="N32" s="396">
        <v>0.68421052631578949</v>
      </c>
      <c r="O32" s="396">
        <v>0.64835164835164838</v>
      </c>
      <c r="P32" s="403">
        <v>119</v>
      </c>
      <c r="Q32" s="403">
        <v>117</v>
      </c>
      <c r="R32" s="403">
        <v>236</v>
      </c>
      <c r="S32" s="403">
        <v>44</v>
      </c>
      <c r="T32" s="403">
        <v>62</v>
      </c>
      <c r="U32" s="403">
        <v>106</v>
      </c>
      <c r="V32" s="396">
        <v>0.36974789915966388</v>
      </c>
      <c r="W32" s="396">
        <v>0.52991452991452992</v>
      </c>
      <c r="X32" s="396">
        <v>0.44915254237288138</v>
      </c>
      <c r="Y32" s="403">
        <v>61</v>
      </c>
      <c r="Z32" s="403">
        <v>55</v>
      </c>
      <c r="AA32" s="403">
        <v>116</v>
      </c>
      <c r="AB32" s="403">
        <v>59</v>
      </c>
      <c r="AC32" s="403">
        <v>53</v>
      </c>
      <c r="AD32" s="403">
        <v>112</v>
      </c>
      <c r="AE32" s="403">
        <v>19</v>
      </c>
      <c r="AF32" s="403">
        <v>21</v>
      </c>
      <c r="AG32" s="403">
        <v>40</v>
      </c>
      <c r="AH32" s="396">
        <v>0.32203389830508472</v>
      </c>
      <c r="AI32" s="396">
        <v>0.39622641509433965</v>
      </c>
      <c r="AJ32" s="396">
        <v>0.35714285714285715</v>
      </c>
      <c r="AK32" s="403">
        <v>19</v>
      </c>
      <c r="AL32" s="403">
        <v>21</v>
      </c>
      <c r="AM32" s="403">
        <v>40</v>
      </c>
      <c r="AN32" s="403">
        <v>0</v>
      </c>
      <c r="AO32" s="403">
        <v>6</v>
      </c>
      <c r="AP32" s="403">
        <v>6</v>
      </c>
      <c r="AQ32" s="396">
        <v>0</v>
      </c>
      <c r="AR32" s="396">
        <v>0.2857142857142857</v>
      </c>
      <c r="AS32" s="396">
        <v>0.15</v>
      </c>
      <c r="AT32" s="409"/>
      <c r="AU32" s="409"/>
      <c r="AV32" s="409"/>
      <c r="AW32" s="409"/>
      <c r="AX32" s="409"/>
      <c r="AY32" s="409"/>
      <c r="AZ32" s="409"/>
      <c r="BA32" s="409"/>
      <c r="BB32" s="409"/>
      <c r="BC32" s="409"/>
      <c r="BD32" s="409"/>
      <c r="BE32" s="409"/>
      <c r="BF32" s="409"/>
      <c r="BG32" s="409"/>
      <c r="BH32" s="409"/>
      <c r="BI32" s="409"/>
      <c r="BJ32" s="409"/>
      <c r="BK32" s="409"/>
      <c r="BL32" s="409"/>
      <c r="BM32" s="409"/>
      <c r="BN32" s="409"/>
      <c r="BO32" s="387">
        <v>139</v>
      </c>
      <c r="BP32" s="387">
        <v>123</v>
      </c>
      <c r="BQ32" s="387">
        <v>262</v>
      </c>
      <c r="BR32" s="387">
        <v>134</v>
      </c>
      <c r="BS32" s="387">
        <v>118</v>
      </c>
      <c r="BT32" s="387">
        <v>252</v>
      </c>
      <c r="BU32" s="387">
        <v>100</v>
      </c>
      <c r="BV32" s="387">
        <v>96</v>
      </c>
      <c r="BW32" s="387">
        <v>196</v>
      </c>
      <c r="BX32" s="396">
        <v>0.74626865671641796</v>
      </c>
      <c r="BY32" s="396">
        <v>0.81355932203389836</v>
      </c>
      <c r="BZ32" s="396">
        <v>0.77777777777777779</v>
      </c>
      <c r="CA32" s="387">
        <v>100</v>
      </c>
      <c r="CB32" s="387">
        <v>96</v>
      </c>
      <c r="CC32" s="387">
        <v>196</v>
      </c>
      <c r="CD32" s="387">
        <v>44</v>
      </c>
      <c r="CE32" s="387">
        <v>56</v>
      </c>
      <c r="CF32" s="387">
        <v>100</v>
      </c>
      <c r="CG32" s="396">
        <v>0.44</v>
      </c>
      <c r="CH32" s="396">
        <v>0.58333333333333337</v>
      </c>
      <c r="CI32" s="396">
        <v>0.51020408163265307</v>
      </c>
      <c r="CJ32" s="409"/>
      <c r="CK32" s="409"/>
      <c r="CL32" s="409"/>
      <c r="CM32" s="409"/>
      <c r="CN32" s="409"/>
      <c r="CO32" s="409"/>
      <c r="CP32" s="409"/>
      <c r="CQ32" s="409"/>
      <c r="CR32" s="409"/>
      <c r="CS32" s="409"/>
      <c r="CT32" s="409"/>
      <c r="CU32" s="409"/>
      <c r="CV32" s="409"/>
      <c r="CW32" s="409"/>
      <c r="CX32" s="409"/>
      <c r="CY32" s="409"/>
      <c r="CZ32" s="409"/>
      <c r="DA32" s="409"/>
      <c r="DB32" s="409"/>
      <c r="DC32" s="409"/>
      <c r="DD32" s="409"/>
    </row>
    <row r="33" spans="1:108" s="362" customFormat="1" ht="33.75" customHeight="1" x14ac:dyDescent="0.25">
      <c r="A33" s="423">
        <v>27</v>
      </c>
      <c r="B33" s="450" t="s">
        <v>387</v>
      </c>
      <c r="C33" s="401" t="s">
        <v>353</v>
      </c>
      <c r="D33" s="403">
        <v>53</v>
      </c>
      <c r="E33" s="403">
        <v>60</v>
      </c>
      <c r="F33" s="403">
        <v>113</v>
      </c>
      <c r="G33" s="403">
        <v>41</v>
      </c>
      <c r="H33" s="403">
        <v>49</v>
      </c>
      <c r="I33" s="403">
        <v>90</v>
      </c>
      <c r="J33" s="403">
        <v>37</v>
      </c>
      <c r="K33" s="403">
        <v>45</v>
      </c>
      <c r="L33" s="403">
        <v>82</v>
      </c>
      <c r="M33" s="396">
        <v>0.90243902439024393</v>
      </c>
      <c r="N33" s="396">
        <v>0.91836734693877553</v>
      </c>
      <c r="O33" s="396">
        <v>0.91111111111111109</v>
      </c>
      <c r="P33" s="403">
        <v>37</v>
      </c>
      <c r="Q33" s="403">
        <v>45</v>
      </c>
      <c r="R33" s="403">
        <v>82</v>
      </c>
      <c r="S33" s="403">
        <v>18</v>
      </c>
      <c r="T33" s="403">
        <v>19</v>
      </c>
      <c r="U33" s="403">
        <v>37</v>
      </c>
      <c r="V33" s="396">
        <v>0.48648648648648651</v>
      </c>
      <c r="W33" s="396">
        <v>0.42222222222222222</v>
      </c>
      <c r="X33" s="396">
        <v>0.45121951219512196</v>
      </c>
      <c r="Y33" s="405"/>
      <c r="Z33" s="405"/>
      <c r="AA33" s="405"/>
      <c r="AB33" s="405"/>
      <c r="AC33" s="405"/>
      <c r="AD33" s="405"/>
      <c r="AE33" s="405"/>
      <c r="AF33" s="405"/>
      <c r="AG33" s="405"/>
      <c r="AH33" s="405"/>
      <c r="AI33" s="405"/>
      <c r="AJ33" s="405"/>
      <c r="AK33" s="405"/>
      <c r="AL33" s="405"/>
      <c r="AM33" s="405"/>
      <c r="AN33" s="405"/>
      <c r="AO33" s="405"/>
      <c r="AP33" s="405"/>
      <c r="AQ33" s="405"/>
      <c r="AR33" s="405"/>
      <c r="AS33" s="405"/>
      <c r="AT33" s="409"/>
      <c r="AU33" s="409"/>
      <c r="AV33" s="409"/>
      <c r="AW33" s="409"/>
      <c r="AX33" s="409"/>
      <c r="AY33" s="409"/>
      <c r="AZ33" s="409"/>
      <c r="BA33" s="409"/>
      <c r="BB33" s="409"/>
      <c r="BC33" s="409"/>
      <c r="BD33" s="409"/>
      <c r="BE33" s="409"/>
      <c r="BF33" s="409"/>
      <c r="BG33" s="409"/>
      <c r="BH33" s="409"/>
      <c r="BI33" s="409"/>
      <c r="BJ33" s="409"/>
      <c r="BK33" s="409"/>
      <c r="BL33" s="409"/>
      <c r="BM33" s="409"/>
      <c r="BN33" s="409"/>
      <c r="BO33" s="409">
        <v>53</v>
      </c>
      <c r="BP33" s="409">
        <v>60</v>
      </c>
      <c r="BQ33" s="409">
        <v>113</v>
      </c>
      <c r="BR33" s="409">
        <v>41</v>
      </c>
      <c r="BS33" s="409">
        <v>49</v>
      </c>
      <c r="BT33" s="409">
        <v>90</v>
      </c>
      <c r="BU33" s="409">
        <v>37</v>
      </c>
      <c r="BV33" s="409">
        <v>45</v>
      </c>
      <c r="BW33" s="409">
        <v>82</v>
      </c>
      <c r="BX33" s="409"/>
      <c r="BY33" s="409"/>
      <c r="BZ33" s="409"/>
      <c r="CA33" s="409">
        <v>37</v>
      </c>
      <c r="CB33" s="409">
        <v>45</v>
      </c>
      <c r="CC33" s="409">
        <v>82</v>
      </c>
      <c r="CD33" s="409">
        <v>18</v>
      </c>
      <c r="CE33" s="409">
        <v>19</v>
      </c>
      <c r="CF33" s="409">
        <v>37</v>
      </c>
      <c r="CG33" s="409"/>
      <c r="CH33" s="409"/>
      <c r="CI33" s="409"/>
      <c r="CJ33" s="409"/>
      <c r="CK33" s="409"/>
      <c r="CL33" s="409"/>
      <c r="CM33" s="409"/>
      <c r="CN33" s="409"/>
      <c r="CO33" s="409"/>
      <c r="CP33" s="409"/>
      <c r="CQ33" s="409"/>
      <c r="CR33" s="409"/>
      <c r="CS33" s="409"/>
      <c r="CT33" s="409"/>
      <c r="CU33" s="409"/>
      <c r="CV33" s="409"/>
      <c r="CW33" s="409"/>
      <c r="CX33" s="409"/>
      <c r="CY33" s="409"/>
      <c r="CZ33" s="409"/>
      <c r="DA33" s="409"/>
      <c r="DB33" s="409"/>
      <c r="DC33" s="409"/>
      <c r="DD33" s="409"/>
    </row>
    <row r="34" spans="1:108" ht="36" customHeight="1" x14ac:dyDescent="0.25">
      <c r="A34" s="423">
        <v>28</v>
      </c>
      <c r="B34" s="450" t="s">
        <v>380</v>
      </c>
      <c r="C34" s="401" t="s">
        <v>142</v>
      </c>
      <c r="D34" s="403">
        <v>55965</v>
      </c>
      <c r="E34" s="403">
        <v>55548</v>
      </c>
      <c r="F34" s="403">
        <v>111513</v>
      </c>
      <c r="G34" s="403">
        <v>49512</v>
      </c>
      <c r="H34" s="403">
        <v>50960</v>
      </c>
      <c r="I34" s="403">
        <v>100472</v>
      </c>
      <c r="J34" s="403">
        <v>48106</v>
      </c>
      <c r="K34" s="403">
        <v>50105</v>
      </c>
      <c r="L34" s="403">
        <v>98211</v>
      </c>
      <c r="M34" s="396">
        <v>0.97160284375504924</v>
      </c>
      <c r="N34" s="396">
        <v>0.98322213500784927</v>
      </c>
      <c r="O34" s="396">
        <v>0.97749621785173979</v>
      </c>
      <c r="P34" s="403">
        <v>48106</v>
      </c>
      <c r="Q34" s="403">
        <v>50105</v>
      </c>
      <c r="R34" s="403">
        <v>98211</v>
      </c>
      <c r="S34" s="403">
        <v>24524</v>
      </c>
      <c r="T34" s="403">
        <v>27835</v>
      </c>
      <c r="U34" s="403">
        <v>52359</v>
      </c>
      <c r="V34" s="396">
        <v>0.50979087847669724</v>
      </c>
      <c r="W34" s="396">
        <v>0.55553337990220542</v>
      </c>
      <c r="X34" s="396">
        <v>0.53312765372514281</v>
      </c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405"/>
      <c r="AL34" s="405"/>
      <c r="AM34" s="405"/>
      <c r="AN34" s="405"/>
      <c r="AO34" s="405"/>
      <c r="AP34" s="405"/>
      <c r="AQ34" s="405"/>
      <c r="AR34" s="405"/>
      <c r="AS34" s="405"/>
      <c r="AT34" s="409"/>
      <c r="AU34" s="409"/>
      <c r="AV34" s="409"/>
      <c r="AW34" s="409"/>
      <c r="AX34" s="409"/>
      <c r="AY34" s="409"/>
      <c r="AZ34" s="409"/>
      <c r="BA34" s="409"/>
      <c r="BB34" s="409"/>
      <c r="BC34" s="409"/>
      <c r="BD34" s="409"/>
      <c r="BE34" s="409"/>
      <c r="BF34" s="409"/>
      <c r="BG34" s="409"/>
      <c r="BH34" s="409"/>
      <c r="BI34" s="409"/>
      <c r="BJ34" s="409"/>
      <c r="BK34" s="409"/>
      <c r="BL34" s="409"/>
      <c r="BM34" s="409"/>
      <c r="BN34" s="409"/>
      <c r="BO34" s="409"/>
      <c r="BP34" s="409"/>
      <c r="BQ34" s="409"/>
      <c r="BR34" s="409"/>
      <c r="BS34" s="409"/>
      <c r="BT34" s="409"/>
      <c r="BU34" s="409"/>
      <c r="BV34" s="409"/>
      <c r="BW34" s="409"/>
      <c r="BX34" s="409"/>
      <c r="BY34" s="409"/>
      <c r="BZ34" s="409"/>
      <c r="CA34" s="409"/>
      <c r="CB34" s="409"/>
      <c r="CC34" s="409"/>
      <c r="CD34" s="409"/>
      <c r="CE34" s="409"/>
      <c r="CF34" s="409"/>
      <c r="CG34" s="409"/>
      <c r="CH34" s="409"/>
      <c r="CI34" s="409"/>
      <c r="CJ34" s="409"/>
      <c r="CK34" s="409"/>
      <c r="CL34" s="409"/>
      <c r="CM34" s="409"/>
      <c r="CN34" s="409"/>
      <c r="CO34" s="409"/>
      <c r="CP34" s="409"/>
      <c r="CQ34" s="409"/>
      <c r="CR34" s="409"/>
      <c r="CS34" s="409"/>
      <c r="CT34" s="409"/>
      <c r="CU34" s="409"/>
      <c r="CV34" s="409"/>
      <c r="CW34" s="409"/>
      <c r="CX34" s="409"/>
      <c r="CY34" s="409"/>
      <c r="CZ34" s="409"/>
      <c r="DA34" s="409"/>
      <c r="DB34" s="409"/>
      <c r="DC34" s="409"/>
      <c r="DD34" s="409"/>
    </row>
    <row r="35" spans="1:108" ht="36" customHeight="1" x14ac:dyDescent="0.25">
      <c r="A35" s="423">
        <v>29</v>
      </c>
      <c r="B35" s="450" t="s">
        <v>381</v>
      </c>
      <c r="C35" s="401" t="s">
        <v>162</v>
      </c>
      <c r="D35" s="403">
        <v>84501</v>
      </c>
      <c r="E35" s="403">
        <v>72369</v>
      </c>
      <c r="F35" s="403">
        <v>156870</v>
      </c>
      <c r="G35" s="403">
        <v>82818</v>
      </c>
      <c r="H35" s="403">
        <v>71118</v>
      </c>
      <c r="I35" s="403">
        <v>153936</v>
      </c>
      <c r="J35" s="403">
        <v>80689</v>
      </c>
      <c r="K35" s="403">
        <v>70250</v>
      </c>
      <c r="L35" s="403">
        <v>150939</v>
      </c>
      <c r="M35" s="396">
        <v>0.97429302808568186</v>
      </c>
      <c r="N35" s="396">
        <v>0.98779493236592708</v>
      </c>
      <c r="O35" s="396">
        <v>0.98053086997193639</v>
      </c>
      <c r="P35" s="403">
        <v>80689</v>
      </c>
      <c r="Q35" s="403">
        <v>70250</v>
      </c>
      <c r="R35" s="403">
        <v>150939</v>
      </c>
      <c r="S35" s="403">
        <v>62028</v>
      </c>
      <c r="T35" s="403">
        <v>61484</v>
      </c>
      <c r="U35" s="403">
        <v>123512</v>
      </c>
      <c r="V35" s="396">
        <v>0.76872931874233164</v>
      </c>
      <c r="W35" s="396">
        <v>0.87521708185053382</v>
      </c>
      <c r="X35" s="396">
        <v>0.81829083272050296</v>
      </c>
      <c r="Y35" s="403">
        <v>67492</v>
      </c>
      <c r="Z35" s="403">
        <v>60601</v>
      </c>
      <c r="AA35" s="403">
        <v>128093</v>
      </c>
      <c r="AB35" s="403">
        <v>66267</v>
      </c>
      <c r="AC35" s="403">
        <v>59549</v>
      </c>
      <c r="AD35" s="403">
        <v>125816</v>
      </c>
      <c r="AE35" s="403">
        <v>65369</v>
      </c>
      <c r="AF35" s="403">
        <v>59069</v>
      </c>
      <c r="AG35" s="403">
        <v>124438</v>
      </c>
      <c r="AH35" s="396">
        <v>0.98644876031810702</v>
      </c>
      <c r="AI35" s="396">
        <v>0.99193941124116269</v>
      </c>
      <c r="AJ35" s="396">
        <v>0.98904749793349023</v>
      </c>
      <c r="AK35" s="403">
        <v>65369</v>
      </c>
      <c r="AL35" s="403">
        <v>59069</v>
      </c>
      <c r="AM35" s="403">
        <v>124438</v>
      </c>
      <c r="AN35" s="403">
        <v>51023</v>
      </c>
      <c r="AO35" s="403">
        <v>52155</v>
      </c>
      <c r="AP35" s="403">
        <v>103178</v>
      </c>
      <c r="AQ35" s="396">
        <v>0.78053817558781691</v>
      </c>
      <c r="AR35" s="396">
        <v>0.88295044778140819</v>
      </c>
      <c r="AS35" s="396">
        <v>0.82915186679310182</v>
      </c>
      <c r="AT35" s="387">
        <v>4925</v>
      </c>
      <c r="AU35" s="387">
        <v>3808</v>
      </c>
      <c r="AV35" s="387">
        <v>8733</v>
      </c>
      <c r="AW35" s="387">
        <v>4783</v>
      </c>
      <c r="AX35" s="387">
        <v>3735</v>
      </c>
      <c r="AY35" s="387">
        <v>8518</v>
      </c>
      <c r="AZ35" s="387">
        <v>4479</v>
      </c>
      <c r="BA35" s="387">
        <v>3647</v>
      </c>
      <c r="BB35" s="387">
        <v>8126</v>
      </c>
      <c r="BC35" s="396">
        <v>0.9364415638720468</v>
      </c>
      <c r="BD35" s="396">
        <v>0.97643908969210169</v>
      </c>
      <c r="BE35" s="396">
        <v>0.95397980746654143</v>
      </c>
      <c r="BF35" s="387">
        <v>4479</v>
      </c>
      <c r="BG35" s="387">
        <v>3647</v>
      </c>
      <c r="BH35" s="387">
        <v>8126</v>
      </c>
      <c r="BI35" s="387">
        <v>2576</v>
      </c>
      <c r="BJ35" s="387">
        <v>2695</v>
      </c>
      <c r="BK35" s="387">
        <v>5271</v>
      </c>
      <c r="BL35" s="396">
        <v>0.57512837686983698</v>
      </c>
      <c r="BM35" s="396">
        <v>0.73896353166986561</v>
      </c>
      <c r="BN35" s="396">
        <v>0.6486586266305685</v>
      </c>
      <c r="BO35" s="387">
        <v>11437</v>
      </c>
      <c r="BP35" s="387">
        <v>7563</v>
      </c>
      <c r="BQ35" s="387">
        <v>19000</v>
      </c>
      <c r="BR35" s="387">
        <v>11201</v>
      </c>
      <c r="BS35" s="387">
        <v>7482</v>
      </c>
      <c r="BT35" s="387">
        <v>18683</v>
      </c>
      <c r="BU35" s="387">
        <v>10445</v>
      </c>
      <c r="BV35" s="387">
        <v>7240</v>
      </c>
      <c r="BW35" s="387">
        <v>17685</v>
      </c>
      <c r="BX35" s="396">
        <v>0.93250602624765644</v>
      </c>
      <c r="BY35" s="396">
        <v>0.96765570703020587</v>
      </c>
      <c r="BZ35" s="396">
        <v>0.94658245463790613</v>
      </c>
      <c r="CA35" s="387">
        <v>10445</v>
      </c>
      <c r="CB35" s="387">
        <v>7240</v>
      </c>
      <c r="CC35" s="387">
        <v>17685</v>
      </c>
      <c r="CD35" s="387">
        <v>8334</v>
      </c>
      <c r="CE35" s="387">
        <v>6483</v>
      </c>
      <c r="CF35" s="387">
        <v>14817</v>
      </c>
      <c r="CG35" s="396">
        <v>0.7978937290569651</v>
      </c>
      <c r="CH35" s="396">
        <v>0.89544198895027627</v>
      </c>
      <c r="CI35" s="396">
        <v>0.8378286683630195</v>
      </c>
      <c r="CJ35" s="387">
        <v>647</v>
      </c>
      <c r="CK35" s="387">
        <v>397</v>
      </c>
      <c r="CL35" s="387">
        <v>1044</v>
      </c>
      <c r="CM35" s="387">
        <v>567</v>
      </c>
      <c r="CN35" s="387">
        <v>352</v>
      </c>
      <c r="CO35" s="387">
        <v>919</v>
      </c>
      <c r="CP35" s="387">
        <v>396</v>
      </c>
      <c r="CQ35" s="387">
        <v>294</v>
      </c>
      <c r="CR35" s="387">
        <v>690</v>
      </c>
      <c r="CS35" s="396">
        <v>0.69841269841269837</v>
      </c>
      <c r="CT35" s="396">
        <v>0.83522727272727271</v>
      </c>
      <c r="CU35" s="396">
        <v>0.75081610446137104</v>
      </c>
      <c r="CV35" s="387">
        <v>396</v>
      </c>
      <c r="CW35" s="387">
        <v>294</v>
      </c>
      <c r="CX35" s="387">
        <v>690</v>
      </c>
      <c r="CY35" s="387">
        <v>95</v>
      </c>
      <c r="CZ35" s="387">
        <v>151</v>
      </c>
      <c r="DA35" s="387">
        <v>246</v>
      </c>
      <c r="DB35" s="396">
        <v>0.23989898989898989</v>
      </c>
      <c r="DC35" s="396">
        <v>0.51360544217687076</v>
      </c>
      <c r="DD35" s="396">
        <v>0.35652173913043478</v>
      </c>
    </row>
    <row r="36" spans="1:108" ht="36" customHeight="1" x14ac:dyDescent="0.25">
      <c r="A36" s="423">
        <v>30</v>
      </c>
      <c r="B36" s="492" t="s">
        <v>361</v>
      </c>
      <c r="C36" s="401" t="s">
        <v>212</v>
      </c>
      <c r="D36" s="403">
        <v>116092</v>
      </c>
      <c r="E36" s="403">
        <v>99195</v>
      </c>
      <c r="F36" s="403">
        <v>215287</v>
      </c>
      <c r="G36" s="403">
        <v>111171</v>
      </c>
      <c r="H36" s="403">
        <v>96618</v>
      </c>
      <c r="I36" s="403">
        <v>207789</v>
      </c>
      <c r="J36" s="403">
        <v>86135</v>
      </c>
      <c r="K36" s="403">
        <v>76992</v>
      </c>
      <c r="L36" s="403">
        <v>163127</v>
      </c>
      <c r="M36" s="396">
        <v>0.77479738420991084</v>
      </c>
      <c r="N36" s="396">
        <v>0.79687014841954917</v>
      </c>
      <c r="O36" s="396">
        <v>0.78506080687620616</v>
      </c>
      <c r="P36" s="403">
        <v>86135</v>
      </c>
      <c r="Q36" s="403">
        <v>76992</v>
      </c>
      <c r="R36" s="403">
        <v>163127</v>
      </c>
      <c r="S36" s="403">
        <v>27179</v>
      </c>
      <c r="T36" s="403">
        <v>27003</v>
      </c>
      <c r="U36" s="403">
        <v>54182</v>
      </c>
      <c r="V36" s="396">
        <v>0.31553955999303418</v>
      </c>
      <c r="W36" s="396">
        <v>0.35072475062344138</v>
      </c>
      <c r="X36" s="396">
        <v>0.33214611928129617</v>
      </c>
      <c r="Y36" s="403">
        <v>82120</v>
      </c>
      <c r="Z36" s="403">
        <v>79497</v>
      </c>
      <c r="AA36" s="403">
        <v>161617</v>
      </c>
      <c r="AB36" s="403">
        <v>78518</v>
      </c>
      <c r="AC36" s="403">
        <v>77403</v>
      </c>
      <c r="AD36" s="403">
        <v>155921</v>
      </c>
      <c r="AE36" s="403">
        <v>59067</v>
      </c>
      <c r="AF36" s="403">
        <v>60041</v>
      </c>
      <c r="AG36" s="403">
        <v>119108</v>
      </c>
      <c r="AH36" s="396">
        <v>0.75227336406938539</v>
      </c>
      <c r="AI36" s="396">
        <v>0.77569344857434464</v>
      </c>
      <c r="AJ36" s="396">
        <v>0.76389966713912816</v>
      </c>
      <c r="AK36" s="403">
        <v>59067</v>
      </c>
      <c r="AL36" s="403">
        <v>60041</v>
      </c>
      <c r="AM36" s="403">
        <v>119108</v>
      </c>
      <c r="AN36" s="403">
        <v>14705</v>
      </c>
      <c r="AO36" s="403">
        <v>17645</v>
      </c>
      <c r="AP36" s="403">
        <v>32350</v>
      </c>
      <c r="AQ36" s="396">
        <v>0.24895457700577311</v>
      </c>
      <c r="AR36" s="396">
        <v>0.29388251361569595</v>
      </c>
      <c r="AS36" s="396">
        <v>0.27160224334217686</v>
      </c>
      <c r="AT36" s="409"/>
      <c r="AU36" s="409"/>
      <c r="AV36" s="409"/>
      <c r="AW36" s="409"/>
      <c r="AX36" s="409"/>
      <c r="AY36" s="409"/>
      <c r="AZ36" s="409"/>
      <c r="BA36" s="409"/>
      <c r="BB36" s="409"/>
      <c r="BC36" s="409"/>
      <c r="BD36" s="409"/>
      <c r="BE36" s="409"/>
      <c r="BF36" s="409"/>
      <c r="BG36" s="409"/>
      <c r="BH36" s="409"/>
      <c r="BI36" s="409"/>
      <c r="BJ36" s="409"/>
      <c r="BK36" s="409"/>
      <c r="BL36" s="409"/>
      <c r="BM36" s="409"/>
      <c r="BN36" s="409"/>
      <c r="BO36" s="387">
        <v>33765</v>
      </c>
      <c r="BP36" s="387">
        <v>19553</v>
      </c>
      <c r="BQ36" s="387">
        <v>53318</v>
      </c>
      <c r="BR36" s="387">
        <v>32497</v>
      </c>
      <c r="BS36" s="387">
        <v>19098</v>
      </c>
      <c r="BT36" s="387">
        <v>51595</v>
      </c>
      <c r="BU36" s="387">
        <v>27044</v>
      </c>
      <c r="BV36" s="387">
        <v>16929</v>
      </c>
      <c r="BW36" s="387">
        <v>43973</v>
      </c>
      <c r="BX36" s="396">
        <v>0.83219989537495764</v>
      </c>
      <c r="BY36" s="396">
        <v>0.88642789820923662</v>
      </c>
      <c r="BZ36" s="396">
        <v>0.85227250702587465</v>
      </c>
      <c r="CA36" s="387">
        <v>27044</v>
      </c>
      <c r="CB36" s="387">
        <v>16929</v>
      </c>
      <c r="CC36" s="387">
        <v>43973</v>
      </c>
      <c r="CD36" s="387">
        <v>12473</v>
      </c>
      <c r="CE36" s="387">
        <v>9355</v>
      </c>
      <c r="CF36" s="387">
        <v>21828</v>
      </c>
      <c r="CG36" s="396">
        <v>0.46121135926638074</v>
      </c>
      <c r="CH36" s="396">
        <v>0.55260204383011402</v>
      </c>
      <c r="CI36" s="396">
        <v>0.49639551542992288</v>
      </c>
      <c r="CJ36" s="387">
        <v>207</v>
      </c>
      <c r="CK36" s="387">
        <v>145</v>
      </c>
      <c r="CL36" s="387">
        <v>352</v>
      </c>
      <c r="CM36" s="387">
        <v>156</v>
      </c>
      <c r="CN36" s="387">
        <v>117</v>
      </c>
      <c r="CO36" s="387">
        <v>273</v>
      </c>
      <c r="CP36" s="387">
        <v>24</v>
      </c>
      <c r="CQ36" s="387">
        <v>22</v>
      </c>
      <c r="CR36" s="387">
        <v>46</v>
      </c>
      <c r="CS36" s="396">
        <v>0.15384615384615385</v>
      </c>
      <c r="CT36" s="396">
        <v>0.18803418803418803</v>
      </c>
      <c r="CU36" s="396">
        <v>0.16849816849816851</v>
      </c>
      <c r="CV36" s="387">
        <v>24</v>
      </c>
      <c r="CW36" s="387">
        <v>22</v>
      </c>
      <c r="CX36" s="387">
        <v>46</v>
      </c>
      <c r="CY36" s="387">
        <v>1</v>
      </c>
      <c r="CZ36" s="387">
        <v>3</v>
      </c>
      <c r="DA36" s="387">
        <v>4</v>
      </c>
      <c r="DB36" s="396">
        <v>4.1666666666666664E-2</v>
      </c>
      <c r="DC36" s="396">
        <v>0.13636363636363635</v>
      </c>
      <c r="DD36" s="396">
        <v>8.6956521739130432E-2</v>
      </c>
    </row>
    <row r="37" spans="1:108" s="379" customFormat="1" ht="34.5" customHeight="1" x14ac:dyDescent="0.25">
      <c r="A37" s="423">
        <v>31</v>
      </c>
      <c r="B37" s="493"/>
      <c r="C37" s="436" t="s">
        <v>421</v>
      </c>
      <c r="D37" s="403">
        <v>1</v>
      </c>
      <c r="E37" s="403">
        <v>16</v>
      </c>
      <c r="F37" s="403">
        <v>17</v>
      </c>
      <c r="G37" s="403">
        <v>1</v>
      </c>
      <c r="H37" s="403">
        <v>16</v>
      </c>
      <c r="I37" s="403">
        <v>17</v>
      </c>
      <c r="J37" s="403">
        <v>1</v>
      </c>
      <c r="K37" s="403">
        <v>16</v>
      </c>
      <c r="L37" s="403">
        <v>17</v>
      </c>
      <c r="M37" s="396">
        <v>1</v>
      </c>
      <c r="N37" s="396">
        <v>1</v>
      </c>
      <c r="O37" s="396">
        <v>1</v>
      </c>
      <c r="P37" s="403">
        <v>1</v>
      </c>
      <c r="Q37" s="403">
        <v>16</v>
      </c>
      <c r="R37" s="403">
        <v>17</v>
      </c>
      <c r="S37" s="403">
        <v>1</v>
      </c>
      <c r="T37" s="403">
        <v>16</v>
      </c>
      <c r="U37" s="403">
        <v>17</v>
      </c>
      <c r="V37" s="396">
        <v>1</v>
      </c>
      <c r="W37" s="396">
        <v>1</v>
      </c>
      <c r="X37" s="396">
        <v>1</v>
      </c>
      <c r="Y37" s="405"/>
      <c r="Z37" s="405"/>
      <c r="AA37" s="405"/>
      <c r="AB37" s="405"/>
      <c r="AC37" s="405"/>
      <c r="AD37" s="405"/>
      <c r="AE37" s="405"/>
      <c r="AF37" s="405"/>
      <c r="AG37" s="405"/>
      <c r="AH37" s="405"/>
      <c r="AI37" s="405"/>
      <c r="AJ37" s="405"/>
      <c r="AK37" s="405"/>
      <c r="AL37" s="405"/>
      <c r="AM37" s="405"/>
      <c r="AN37" s="405"/>
      <c r="AO37" s="405"/>
      <c r="AP37" s="405"/>
      <c r="AQ37" s="405"/>
      <c r="AR37" s="405"/>
      <c r="AS37" s="405"/>
      <c r="AT37" s="409"/>
      <c r="AU37" s="409"/>
      <c r="AV37" s="409"/>
      <c r="AW37" s="409"/>
      <c r="AX37" s="409"/>
      <c r="AY37" s="409"/>
      <c r="AZ37" s="409"/>
      <c r="BA37" s="409"/>
      <c r="BB37" s="409"/>
      <c r="BC37" s="409"/>
      <c r="BD37" s="409"/>
      <c r="BE37" s="409"/>
      <c r="BF37" s="409"/>
      <c r="BG37" s="409"/>
      <c r="BH37" s="409"/>
      <c r="BI37" s="409"/>
      <c r="BJ37" s="409"/>
      <c r="BK37" s="409"/>
      <c r="BL37" s="409"/>
      <c r="BM37" s="409"/>
      <c r="BN37" s="409"/>
      <c r="BO37" s="387">
        <v>1</v>
      </c>
      <c r="BP37" s="387">
        <v>16</v>
      </c>
      <c r="BQ37" s="387">
        <v>17</v>
      </c>
      <c r="BR37" s="387">
        <v>1</v>
      </c>
      <c r="BS37" s="387">
        <v>16</v>
      </c>
      <c r="BT37" s="387">
        <v>17</v>
      </c>
      <c r="BU37" s="387">
        <v>1</v>
      </c>
      <c r="BV37" s="387">
        <v>16</v>
      </c>
      <c r="BW37" s="387">
        <v>17</v>
      </c>
      <c r="BX37" s="396">
        <v>1</v>
      </c>
      <c r="BY37" s="396">
        <v>1</v>
      </c>
      <c r="BZ37" s="396">
        <v>1</v>
      </c>
      <c r="CA37" s="387">
        <v>1</v>
      </c>
      <c r="CB37" s="387">
        <v>16</v>
      </c>
      <c r="CC37" s="387">
        <v>17</v>
      </c>
      <c r="CD37" s="387">
        <v>1</v>
      </c>
      <c r="CE37" s="387">
        <v>16</v>
      </c>
      <c r="CF37" s="387">
        <v>17</v>
      </c>
      <c r="CG37" s="396">
        <v>1</v>
      </c>
      <c r="CH37" s="396">
        <v>1</v>
      </c>
      <c r="CI37" s="396">
        <v>1</v>
      </c>
      <c r="CJ37" s="409"/>
      <c r="CK37" s="409"/>
      <c r="CL37" s="409"/>
      <c r="CM37" s="409"/>
      <c r="CN37" s="409"/>
      <c r="CO37" s="409"/>
      <c r="CP37" s="409"/>
      <c r="CQ37" s="409"/>
      <c r="CR37" s="409"/>
      <c r="CS37" s="409"/>
      <c r="CT37" s="409"/>
      <c r="CU37" s="409"/>
      <c r="CV37" s="409"/>
      <c r="CW37" s="409"/>
      <c r="CX37" s="409"/>
      <c r="CY37" s="409"/>
      <c r="CZ37" s="409"/>
      <c r="DA37" s="409"/>
      <c r="DB37" s="409"/>
      <c r="DC37" s="409"/>
      <c r="DD37" s="409"/>
    </row>
    <row r="38" spans="1:108" s="378" customFormat="1" ht="36" customHeight="1" x14ac:dyDescent="0.25">
      <c r="A38" s="423">
        <v>32</v>
      </c>
      <c r="B38" s="450" t="s">
        <v>382</v>
      </c>
      <c r="C38" s="401" t="s">
        <v>350</v>
      </c>
      <c r="D38" s="403">
        <v>150405</v>
      </c>
      <c r="E38" s="403">
        <v>131423</v>
      </c>
      <c r="F38" s="403">
        <v>281828</v>
      </c>
      <c r="G38" s="403">
        <v>141220</v>
      </c>
      <c r="H38" s="403">
        <v>126130</v>
      </c>
      <c r="I38" s="403">
        <v>267350</v>
      </c>
      <c r="J38" s="403">
        <v>94266</v>
      </c>
      <c r="K38" s="403">
        <v>105078</v>
      </c>
      <c r="L38" s="403">
        <v>199344</v>
      </c>
      <c r="M38" s="396">
        <v>0.66751168389746496</v>
      </c>
      <c r="N38" s="396">
        <v>0.8330928407198922</v>
      </c>
      <c r="O38" s="396">
        <v>0.74562932485505895</v>
      </c>
      <c r="P38" s="403">
        <v>94266</v>
      </c>
      <c r="Q38" s="403">
        <v>105078</v>
      </c>
      <c r="R38" s="403">
        <v>199344</v>
      </c>
      <c r="S38" s="403">
        <v>22679</v>
      </c>
      <c r="T38" s="403">
        <v>41982</v>
      </c>
      <c r="U38" s="403">
        <v>64661</v>
      </c>
      <c r="V38" s="396">
        <v>0.24058515265313049</v>
      </c>
      <c r="W38" s="396">
        <v>0.39953177639467824</v>
      </c>
      <c r="X38" s="396">
        <v>0.3243689300906975</v>
      </c>
      <c r="Y38" s="403">
        <v>69680</v>
      </c>
      <c r="Z38" s="403">
        <v>69244</v>
      </c>
      <c r="AA38" s="403">
        <v>138924</v>
      </c>
      <c r="AB38" s="403">
        <v>63136</v>
      </c>
      <c r="AC38" s="403">
        <v>65178</v>
      </c>
      <c r="AD38" s="403">
        <v>128314</v>
      </c>
      <c r="AE38" s="403">
        <v>46279</v>
      </c>
      <c r="AF38" s="403">
        <v>57421</v>
      </c>
      <c r="AG38" s="403">
        <v>103700</v>
      </c>
      <c r="AH38" s="396">
        <v>0.73300494171312724</v>
      </c>
      <c r="AI38" s="396">
        <v>0.88098744975298415</v>
      </c>
      <c r="AJ38" s="396">
        <v>0.80817369889489843</v>
      </c>
      <c r="AK38" s="403">
        <v>46279</v>
      </c>
      <c r="AL38" s="403">
        <v>57421</v>
      </c>
      <c r="AM38" s="403">
        <v>103700</v>
      </c>
      <c r="AN38" s="403">
        <v>7256</v>
      </c>
      <c r="AO38" s="403">
        <v>17641</v>
      </c>
      <c r="AP38" s="403">
        <v>24897</v>
      </c>
      <c r="AQ38" s="396">
        <v>0.15678817606257697</v>
      </c>
      <c r="AR38" s="396">
        <v>0.30722209644555126</v>
      </c>
      <c r="AS38" s="396">
        <v>0.2400867888138862</v>
      </c>
      <c r="AT38" s="387">
        <v>29167</v>
      </c>
      <c r="AU38" s="387">
        <v>30739</v>
      </c>
      <c r="AV38" s="387">
        <v>59906</v>
      </c>
      <c r="AW38" s="387">
        <v>26681</v>
      </c>
      <c r="AX38" s="387">
        <v>29581</v>
      </c>
      <c r="AY38" s="387">
        <v>56262</v>
      </c>
      <c r="AZ38" s="387">
        <v>20713</v>
      </c>
      <c r="BA38" s="387">
        <v>27423</v>
      </c>
      <c r="BB38" s="387">
        <v>48136</v>
      </c>
      <c r="BC38" s="396">
        <v>0.77632022787751587</v>
      </c>
      <c r="BD38" s="396">
        <v>0.92704776714783133</v>
      </c>
      <c r="BE38" s="396">
        <v>0.85556858981195127</v>
      </c>
      <c r="BF38" s="387">
        <v>20713</v>
      </c>
      <c r="BG38" s="387">
        <v>27423</v>
      </c>
      <c r="BH38" s="387">
        <v>48136</v>
      </c>
      <c r="BI38" s="387">
        <v>4411</v>
      </c>
      <c r="BJ38" s="387">
        <v>12100</v>
      </c>
      <c r="BK38" s="387">
        <v>16511</v>
      </c>
      <c r="BL38" s="396">
        <v>0.21295804567180032</v>
      </c>
      <c r="BM38" s="396">
        <v>0.44123545928600078</v>
      </c>
      <c r="BN38" s="396">
        <v>0.3430073126142596</v>
      </c>
      <c r="BO38" s="387">
        <v>51558</v>
      </c>
      <c r="BP38" s="387">
        <v>31440</v>
      </c>
      <c r="BQ38" s="387">
        <v>82998</v>
      </c>
      <c r="BR38" s="387">
        <v>51403</v>
      </c>
      <c r="BS38" s="387">
        <v>31371</v>
      </c>
      <c r="BT38" s="387">
        <v>82774</v>
      </c>
      <c r="BU38" s="387">
        <v>27274</v>
      </c>
      <c r="BV38" s="387">
        <v>20234</v>
      </c>
      <c r="BW38" s="387">
        <v>47508</v>
      </c>
      <c r="BX38" s="396">
        <v>0.53059159971207903</v>
      </c>
      <c r="BY38" s="396">
        <v>0.64499059641069778</v>
      </c>
      <c r="BZ38" s="396">
        <v>0.57394834126658134</v>
      </c>
      <c r="CA38" s="387">
        <v>27274</v>
      </c>
      <c r="CB38" s="387">
        <v>20234</v>
      </c>
      <c r="CC38" s="387">
        <v>47508</v>
      </c>
      <c r="CD38" s="387">
        <v>11012</v>
      </c>
      <c r="CE38" s="387">
        <v>12241</v>
      </c>
      <c r="CF38" s="387">
        <v>23253</v>
      </c>
      <c r="CG38" s="396">
        <v>0.40375449145706532</v>
      </c>
      <c r="CH38" s="396">
        <v>0.60497182959375306</v>
      </c>
      <c r="CI38" s="396">
        <v>0.48945440767870674</v>
      </c>
      <c r="CJ38" s="409"/>
      <c r="CK38" s="409"/>
      <c r="CL38" s="409"/>
      <c r="CM38" s="409"/>
      <c r="CN38" s="409"/>
      <c r="CO38" s="409"/>
      <c r="CP38" s="409"/>
      <c r="CQ38" s="409"/>
      <c r="CR38" s="409"/>
      <c r="CS38" s="409"/>
      <c r="CT38" s="409"/>
      <c r="CU38" s="409"/>
      <c r="CV38" s="409"/>
      <c r="CW38" s="409"/>
      <c r="CX38" s="409"/>
      <c r="CY38" s="409"/>
      <c r="CZ38" s="409"/>
      <c r="DA38" s="409"/>
      <c r="DB38" s="409"/>
      <c r="DC38" s="409"/>
      <c r="DD38" s="409"/>
    </row>
    <row r="39" spans="1:108" s="376" customFormat="1" ht="41.25" customHeight="1" x14ac:dyDescent="0.25">
      <c r="A39" s="423">
        <v>33</v>
      </c>
      <c r="B39" s="450" t="s">
        <v>359</v>
      </c>
      <c r="C39" s="401" t="s">
        <v>354</v>
      </c>
      <c r="D39" s="403">
        <v>45383</v>
      </c>
      <c r="E39" s="403">
        <v>45286</v>
      </c>
      <c r="F39" s="403">
        <v>90669</v>
      </c>
      <c r="G39" s="403">
        <v>44996</v>
      </c>
      <c r="H39" s="403">
        <v>44882</v>
      </c>
      <c r="I39" s="403">
        <v>89878</v>
      </c>
      <c r="J39" s="403">
        <v>43236</v>
      </c>
      <c r="K39" s="403">
        <v>44068</v>
      </c>
      <c r="L39" s="403">
        <v>87304</v>
      </c>
      <c r="M39" s="396">
        <v>0.96088541203662547</v>
      </c>
      <c r="N39" s="396">
        <v>0.98186355331758834</v>
      </c>
      <c r="O39" s="396">
        <v>0.9713611784863927</v>
      </c>
      <c r="P39" s="403">
        <v>43236</v>
      </c>
      <c r="Q39" s="403">
        <v>44068</v>
      </c>
      <c r="R39" s="403">
        <v>87304</v>
      </c>
      <c r="S39" s="403">
        <v>38506</v>
      </c>
      <c r="T39" s="403">
        <v>42207</v>
      </c>
      <c r="U39" s="403">
        <v>80713</v>
      </c>
      <c r="V39" s="396">
        <v>0.89060042557128316</v>
      </c>
      <c r="W39" s="396">
        <v>0.95776981029318331</v>
      </c>
      <c r="X39" s="396">
        <v>0.92450517731146342</v>
      </c>
      <c r="Y39" s="403">
        <v>23122</v>
      </c>
      <c r="Z39" s="403">
        <v>16764</v>
      </c>
      <c r="AA39" s="403">
        <v>39886</v>
      </c>
      <c r="AB39" s="403">
        <v>22821</v>
      </c>
      <c r="AC39" s="403">
        <v>16530</v>
      </c>
      <c r="AD39" s="403">
        <v>39351</v>
      </c>
      <c r="AE39" s="403">
        <v>21376</v>
      </c>
      <c r="AF39" s="403">
        <v>15987</v>
      </c>
      <c r="AG39" s="403">
        <v>37363</v>
      </c>
      <c r="AH39" s="396">
        <v>0.93668112703211959</v>
      </c>
      <c r="AI39" s="396">
        <v>0.96715063520871147</v>
      </c>
      <c r="AJ39" s="396">
        <v>0.94948031816218137</v>
      </c>
      <c r="AK39" s="403">
        <v>21376</v>
      </c>
      <c r="AL39" s="403">
        <v>15987</v>
      </c>
      <c r="AM39" s="403">
        <v>37363</v>
      </c>
      <c r="AN39" s="403">
        <v>17389</v>
      </c>
      <c r="AO39" s="403">
        <v>14579</v>
      </c>
      <c r="AP39" s="403">
        <v>31968</v>
      </c>
      <c r="AQ39" s="396">
        <v>0.81348241017964074</v>
      </c>
      <c r="AR39" s="396">
        <v>0.91192844185901045</v>
      </c>
      <c r="AS39" s="396">
        <v>0.85560581323769502</v>
      </c>
      <c r="AT39" s="387">
        <v>489</v>
      </c>
      <c r="AU39" s="387">
        <v>966</v>
      </c>
      <c r="AV39" s="387">
        <v>1455</v>
      </c>
      <c r="AW39" s="387">
        <v>485</v>
      </c>
      <c r="AX39" s="387">
        <v>960</v>
      </c>
      <c r="AY39" s="387">
        <v>1445</v>
      </c>
      <c r="AZ39" s="387">
        <v>457</v>
      </c>
      <c r="BA39" s="387">
        <v>934</v>
      </c>
      <c r="BB39" s="387">
        <v>1391</v>
      </c>
      <c r="BC39" s="396">
        <v>0.94226804123711339</v>
      </c>
      <c r="BD39" s="396">
        <v>0.97291666666666665</v>
      </c>
      <c r="BE39" s="396">
        <v>0.96262975778546711</v>
      </c>
      <c r="BF39" s="387">
        <v>457</v>
      </c>
      <c r="BG39" s="387">
        <v>934</v>
      </c>
      <c r="BH39" s="387">
        <v>1391</v>
      </c>
      <c r="BI39" s="387">
        <v>389</v>
      </c>
      <c r="BJ39" s="387">
        <v>869</v>
      </c>
      <c r="BK39" s="387">
        <v>1258</v>
      </c>
      <c r="BL39" s="396">
        <v>0.85120350109409193</v>
      </c>
      <c r="BM39" s="396">
        <v>0.93040685224839403</v>
      </c>
      <c r="BN39" s="396">
        <v>0.9043853342918764</v>
      </c>
      <c r="BO39" s="387">
        <v>12448</v>
      </c>
      <c r="BP39" s="387">
        <v>9703</v>
      </c>
      <c r="BQ39" s="387">
        <v>22151</v>
      </c>
      <c r="BR39" s="387">
        <v>12401</v>
      </c>
      <c r="BS39" s="387">
        <v>9665</v>
      </c>
      <c r="BT39" s="387">
        <v>22066</v>
      </c>
      <c r="BU39" s="387">
        <v>12165</v>
      </c>
      <c r="BV39" s="387">
        <v>9564</v>
      </c>
      <c r="BW39" s="387">
        <v>21729</v>
      </c>
      <c r="BX39" s="396">
        <v>0.98096927667123623</v>
      </c>
      <c r="BY39" s="396">
        <v>0.98954992240041384</v>
      </c>
      <c r="BZ39" s="396">
        <v>0.98472763527599017</v>
      </c>
      <c r="CA39" s="387">
        <v>12165</v>
      </c>
      <c r="CB39" s="387">
        <v>9564</v>
      </c>
      <c r="CC39" s="387">
        <v>21729</v>
      </c>
      <c r="CD39" s="387">
        <v>11647</v>
      </c>
      <c r="CE39" s="387">
        <v>9424</v>
      </c>
      <c r="CF39" s="387">
        <v>21071</v>
      </c>
      <c r="CG39" s="396">
        <v>0.95741882449650639</v>
      </c>
      <c r="CH39" s="396">
        <v>0.98536177331660391</v>
      </c>
      <c r="CI39" s="396">
        <v>0.96971788853605778</v>
      </c>
      <c r="CJ39" s="387">
        <v>9324</v>
      </c>
      <c r="CK39" s="387">
        <v>17853</v>
      </c>
      <c r="CL39" s="387">
        <v>27177</v>
      </c>
      <c r="CM39" s="387">
        <v>9289</v>
      </c>
      <c r="CN39" s="387">
        <v>17727</v>
      </c>
      <c r="CO39" s="387">
        <v>27016</v>
      </c>
      <c r="CP39" s="387">
        <v>9238</v>
      </c>
      <c r="CQ39" s="387">
        <v>17583</v>
      </c>
      <c r="CR39" s="387">
        <v>26821</v>
      </c>
      <c r="CS39" s="396">
        <v>0.99450963505221235</v>
      </c>
      <c r="CT39" s="396">
        <v>0.99187679810458618</v>
      </c>
      <c r="CU39" s="396">
        <v>0.99278205507847206</v>
      </c>
      <c r="CV39" s="387">
        <v>9238</v>
      </c>
      <c r="CW39" s="387">
        <v>17583</v>
      </c>
      <c r="CX39" s="387">
        <v>26821</v>
      </c>
      <c r="CY39" s="387">
        <v>9081</v>
      </c>
      <c r="CZ39" s="387">
        <v>17335</v>
      </c>
      <c r="DA39" s="387">
        <v>26416</v>
      </c>
      <c r="DB39" s="396">
        <v>0.98300497943277765</v>
      </c>
      <c r="DC39" s="396">
        <v>0.98589546721264854</v>
      </c>
      <c r="DD39" s="396">
        <v>0.98489989187576898</v>
      </c>
    </row>
    <row r="40" spans="1:108" s="378" customFormat="1" ht="33" customHeight="1" x14ac:dyDescent="0.25">
      <c r="A40" s="423">
        <v>34</v>
      </c>
      <c r="B40" s="450" t="s">
        <v>383</v>
      </c>
      <c r="C40" s="401" t="s">
        <v>165</v>
      </c>
      <c r="D40" s="412"/>
      <c r="E40" s="412"/>
      <c r="F40" s="430"/>
      <c r="G40" s="403">
        <v>4626</v>
      </c>
      <c r="H40" s="403">
        <v>4691</v>
      </c>
      <c r="I40" s="403">
        <v>9317</v>
      </c>
      <c r="J40" s="403">
        <v>4266</v>
      </c>
      <c r="K40" s="403">
        <v>4302</v>
      </c>
      <c r="L40" s="403">
        <v>8568</v>
      </c>
      <c r="M40" s="396">
        <v>0.9221789883268483</v>
      </c>
      <c r="N40" s="396">
        <v>0.91707525047964189</v>
      </c>
      <c r="O40" s="396">
        <v>0.91960931630353115</v>
      </c>
      <c r="P40" s="403">
        <v>4266</v>
      </c>
      <c r="Q40" s="403">
        <v>4302</v>
      </c>
      <c r="R40" s="403">
        <v>8568</v>
      </c>
      <c r="S40" s="403">
        <v>1408</v>
      </c>
      <c r="T40" s="403">
        <v>1846</v>
      </c>
      <c r="U40" s="403">
        <v>3254</v>
      </c>
      <c r="V40" s="396">
        <v>0.33005157055789969</v>
      </c>
      <c r="W40" s="396">
        <v>0.42910274291027428</v>
      </c>
      <c r="X40" s="396">
        <v>0.37978524743230624</v>
      </c>
      <c r="Y40" s="405"/>
      <c r="Z40" s="405"/>
      <c r="AA40" s="405"/>
      <c r="AB40" s="405"/>
      <c r="AC40" s="405"/>
      <c r="AD40" s="405"/>
      <c r="AE40" s="405"/>
      <c r="AF40" s="405"/>
      <c r="AG40" s="405"/>
      <c r="AH40" s="405"/>
      <c r="AI40" s="405"/>
      <c r="AJ40" s="405"/>
      <c r="AK40" s="405"/>
      <c r="AL40" s="405"/>
      <c r="AM40" s="405"/>
      <c r="AN40" s="405"/>
      <c r="AO40" s="405"/>
      <c r="AP40" s="405"/>
      <c r="AQ40" s="405"/>
      <c r="AR40" s="405"/>
      <c r="AS40" s="405"/>
      <c r="AT40" s="409"/>
      <c r="AU40" s="409"/>
      <c r="AV40" s="409"/>
      <c r="AW40" s="409"/>
      <c r="AX40" s="409"/>
      <c r="AY40" s="409"/>
      <c r="AZ40" s="409"/>
      <c r="BA40" s="409"/>
      <c r="BB40" s="409"/>
      <c r="BC40" s="409"/>
      <c r="BD40" s="409"/>
      <c r="BE40" s="409"/>
      <c r="BF40" s="409"/>
      <c r="BG40" s="409"/>
      <c r="BH40" s="409"/>
      <c r="BI40" s="409"/>
      <c r="BJ40" s="409"/>
      <c r="BK40" s="409"/>
      <c r="BL40" s="409"/>
      <c r="BM40" s="409"/>
      <c r="BN40" s="409"/>
      <c r="BO40" s="409"/>
      <c r="BP40" s="409"/>
      <c r="BQ40" s="409"/>
      <c r="BR40" s="409"/>
      <c r="BS40" s="409"/>
      <c r="BT40" s="409"/>
      <c r="BU40" s="409"/>
      <c r="BV40" s="409"/>
      <c r="BW40" s="409"/>
      <c r="BX40" s="409"/>
      <c r="BY40" s="409"/>
      <c r="BZ40" s="409"/>
      <c r="CA40" s="409"/>
      <c r="CB40" s="409"/>
      <c r="CC40" s="409"/>
      <c r="CD40" s="409"/>
      <c r="CE40" s="409"/>
      <c r="CF40" s="409"/>
      <c r="CG40" s="409"/>
      <c r="CH40" s="409"/>
      <c r="CI40" s="409"/>
      <c r="CJ40" s="409"/>
      <c r="CK40" s="409"/>
      <c r="CL40" s="409"/>
      <c r="CM40" s="409"/>
      <c r="CN40" s="409"/>
      <c r="CO40" s="409"/>
      <c r="CP40" s="409"/>
      <c r="CQ40" s="409"/>
      <c r="CR40" s="409"/>
      <c r="CS40" s="409"/>
      <c r="CT40" s="409"/>
      <c r="CU40" s="409"/>
      <c r="CV40" s="409"/>
      <c r="CW40" s="409"/>
      <c r="CX40" s="409"/>
      <c r="CY40" s="409"/>
      <c r="CZ40" s="409"/>
      <c r="DA40" s="409"/>
      <c r="DB40" s="409"/>
      <c r="DC40" s="409"/>
      <c r="DD40" s="409"/>
    </row>
    <row r="41" spans="1:108" s="362" customFormat="1" ht="33" customHeight="1" x14ac:dyDescent="0.25">
      <c r="A41" s="423">
        <v>35</v>
      </c>
      <c r="B41" s="489" t="s">
        <v>384</v>
      </c>
      <c r="C41" s="401" t="s">
        <v>351</v>
      </c>
      <c r="D41" s="403">
        <v>345769</v>
      </c>
      <c r="E41" s="403">
        <v>278427</v>
      </c>
      <c r="F41" s="403">
        <v>624196</v>
      </c>
      <c r="G41" s="403">
        <v>304142</v>
      </c>
      <c r="H41" s="403">
        <v>258629</v>
      </c>
      <c r="I41" s="403">
        <v>562771</v>
      </c>
      <c r="J41" s="403">
        <v>247951</v>
      </c>
      <c r="K41" s="403">
        <v>226452</v>
      </c>
      <c r="L41" s="403">
        <v>474403</v>
      </c>
      <c r="M41" s="396">
        <v>0.81524748308355965</v>
      </c>
      <c r="N41" s="396">
        <v>0.87558626449470089</v>
      </c>
      <c r="O41" s="396">
        <v>0.84297698353326667</v>
      </c>
      <c r="P41" s="403">
        <v>247951</v>
      </c>
      <c r="Q41" s="403">
        <v>226452</v>
      </c>
      <c r="R41" s="403">
        <v>474403</v>
      </c>
      <c r="S41" s="403">
        <v>160941</v>
      </c>
      <c r="T41" s="403">
        <v>168331</v>
      </c>
      <c r="U41" s="403">
        <v>329272</v>
      </c>
      <c r="V41" s="396">
        <v>0.64908389157535162</v>
      </c>
      <c r="W41" s="396">
        <v>0.74334075212407047</v>
      </c>
      <c r="X41" s="396">
        <v>0.69407655516512334</v>
      </c>
      <c r="Y41" s="403">
        <v>17258</v>
      </c>
      <c r="Z41" s="403">
        <v>23757</v>
      </c>
      <c r="AA41" s="403">
        <v>41015</v>
      </c>
      <c r="AB41" s="403">
        <v>16228</v>
      </c>
      <c r="AC41" s="403">
        <v>22933</v>
      </c>
      <c r="AD41" s="403">
        <v>39161</v>
      </c>
      <c r="AE41" s="403">
        <v>12689</v>
      </c>
      <c r="AF41" s="403">
        <v>19834</v>
      </c>
      <c r="AG41" s="403">
        <v>32523</v>
      </c>
      <c r="AH41" s="396">
        <v>0.78192013803302929</v>
      </c>
      <c r="AI41" s="396">
        <v>0.86486722190729515</v>
      </c>
      <c r="AJ41" s="396">
        <v>0.83049462475421976</v>
      </c>
      <c r="AK41" s="403">
        <v>12689</v>
      </c>
      <c r="AL41" s="403">
        <v>19834</v>
      </c>
      <c r="AM41" s="403">
        <v>32523</v>
      </c>
      <c r="AN41" s="403">
        <v>7013</v>
      </c>
      <c r="AO41" s="403">
        <v>13126</v>
      </c>
      <c r="AP41" s="403">
        <v>20139</v>
      </c>
      <c r="AQ41" s="396">
        <v>0.55268342658995984</v>
      </c>
      <c r="AR41" s="396">
        <v>0.66179288091156596</v>
      </c>
      <c r="AS41" s="396">
        <v>0.61922331888202198</v>
      </c>
      <c r="AT41" s="387">
        <v>111258</v>
      </c>
      <c r="AU41" s="387">
        <v>84579</v>
      </c>
      <c r="AV41" s="387">
        <v>195837</v>
      </c>
      <c r="AW41" s="387">
        <v>105593</v>
      </c>
      <c r="AX41" s="387">
        <v>82081</v>
      </c>
      <c r="AY41" s="387">
        <v>187674</v>
      </c>
      <c r="AZ41" s="387">
        <v>83213</v>
      </c>
      <c r="BA41" s="387">
        <v>69524</v>
      </c>
      <c r="BB41" s="387">
        <v>152737</v>
      </c>
      <c r="BC41" s="396">
        <v>0.78805413237619915</v>
      </c>
      <c r="BD41" s="396">
        <v>0.8470169710408012</v>
      </c>
      <c r="BE41" s="396">
        <v>0.8138420878757846</v>
      </c>
      <c r="BF41" s="387">
        <v>83213</v>
      </c>
      <c r="BG41" s="387">
        <v>69524</v>
      </c>
      <c r="BH41" s="387">
        <v>152737</v>
      </c>
      <c r="BI41" s="387">
        <v>46882</v>
      </c>
      <c r="BJ41" s="387">
        <v>45911</v>
      </c>
      <c r="BK41" s="387">
        <v>92793</v>
      </c>
      <c r="BL41" s="396">
        <v>0.5633975460565056</v>
      </c>
      <c r="BM41" s="396">
        <v>0.66036188941948104</v>
      </c>
      <c r="BN41" s="396">
        <v>0.60753452012282549</v>
      </c>
      <c r="BO41" s="387">
        <v>215136</v>
      </c>
      <c r="BP41" s="387">
        <v>169034</v>
      </c>
      <c r="BQ41" s="387">
        <v>384170</v>
      </c>
      <c r="BR41" s="387">
        <v>180683</v>
      </c>
      <c r="BS41" s="387">
        <v>152726</v>
      </c>
      <c r="BT41" s="387">
        <v>333409</v>
      </c>
      <c r="BU41" s="387">
        <v>151007</v>
      </c>
      <c r="BV41" s="387">
        <v>136497</v>
      </c>
      <c r="BW41" s="387">
        <v>287504</v>
      </c>
      <c r="BX41" s="396">
        <v>0.83575654599491933</v>
      </c>
      <c r="BY41" s="396">
        <v>0.89373780495789845</v>
      </c>
      <c r="BZ41" s="396">
        <v>0.86231625421029423</v>
      </c>
      <c r="CA41" s="387">
        <v>151007</v>
      </c>
      <c r="CB41" s="387">
        <v>136497</v>
      </c>
      <c r="CC41" s="387">
        <v>287504</v>
      </c>
      <c r="CD41" s="387">
        <v>106761</v>
      </c>
      <c r="CE41" s="387">
        <v>109128</v>
      </c>
      <c r="CF41" s="387">
        <v>215889</v>
      </c>
      <c r="CG41" s="396">
        <v>0.7069937155231214</v>
      </c>
      <c r="CH41" s="396">
        <v>0.79949009868348753</v>
      </c>
      <c r="CI41" s="396">
        <v>0.75090781345650848</v>
      </c>
      <c r="CJ41" s="387">
        <v>2117</v>
      </c>
      <c r="CK41" s="387">
        <v>1057</v>
      </c>
      <c r="CL41" s="387">
        <v>3174</v>
      </c>
      <c r="CM41" s="387">
        <v>1638</v>
      </c>
      <c r="CN41" s="387">
        <v>889</v>
      </c>
      <c r="CO41" s="387">
        <v>2527</v>
      </c>
      <c r="CP41" s="387">
        <v>1042</v>
      </c>
      <c r="CQ41" s="387">
        <v>597</v>
      </c>
      <c r="CR41" s="387">
        <v>1639</v>
      </c>
      <c r="CS41" s="396">
        <v>0.6361416361416361</v>
      </c>
      <c r="CT41" s="396">
        <v>0.67154105736782899</v>
      </c>
      <c r="CU41" s="396">
        <v>0.64859517214087847</v>
      </c>
      <c r="CV41" s="387">
        <v>1042</v>
      </c>
      <c r="CW41" s="387">
        <v>597</v>
      </c>
      <c r="CX41" s="387">
        <v>1639</v>
      </c>
      <c r="CY41" s="387">
        <v>285</v>
      </c>
      <c r="CZ41" s="387">
        <v>166</v>
      </c>
      <c r="DA41" s="387">
        <v>451</v>
      </c>
      <c r="DB41" s="396">
        <v>0.27351247600767753</v>
      </c>
      <c r="DC41" s="396">
        <v>0.27805695142378561</v>
      </c>
      <c r="DD41" s="396">
        <v>0.27516778523489932</v>
      </c>
    </row>
    <row r="42" spans="1:108" s="362" customFormat="1" ht="35.25" customHeight="1" x14ac:dyDescent="0.25">
      <c r="A42" s="423">
        <v>36</v>
      </c>
      <c r="B42" s="490"/>
      <c r="C42" s="401" t="s">
        <v>166</v>
      </c>
      <c r="D42" s="387">
        <v>15</v>
      </c>
      <c r="E42" s="387">
        <v>34</v>
      </c>
      <c r="F42" s="387">
        <v>49</v>
      </c>
      <c r="G42" s="387">
        <v>15</v>
      </c>
      <c r="H42" s="387">
        <v>33</v>
      </c>
      <c r="I42" s="387">
        <v>48</v>
      </c>
      <c r="J42" s="387">
        <v>15</v>
      </c>
      <c r="K42" s="387">
        <v>33</v>
      </c>
      <c r="L42" s="387">
        <v>48</v>
      </c>
      <c r="M42" s="396">
        <v>1</v>
      </c>
      <c r="N42" s="396">
        <v>1</v>
      </c>
      <c r="O42" s="396">
        <v>1</v>
      </c>
      <c r="P42" s="387">
        <v>15</v>
      </c>
      <c r="Q42" s="387">
        <v>33</v>
      </c>
      <c r="R42" s="387">
        <v>48</v>
      </c>
      <c r="S42" s="387">
        <v>11</v>
      </c>
      <c r="T42" s="387">
        <v>23</v>
      </c>
      <c r="U42" s="387">
        <v>34</v>
      </c>
      <c r="V42" s="396">
        <v>0.73333333333333328</v>
      </c>
      <c r="W42" s="396">
        <v>0.69696969696969702</v>
      </c>
      <c r="X42" s="396">
        <v>0.70833333333333337</v>
      </c>
      <c r="Y42" s="405"/>
      <c r="Z42" s="405"/>
      <c r="AA42" s="405"/>
      <c r="AB42" s="405"/>
      <c r="AC42" s="405"/>
      <c r="AD42" s="405"/>
      <c r="AE42" s="405"/>
      <c r="AF42" s="405"/>
      <c r="AG42" s="405"/>
      <c r="AH42" s="405"/>
      <c r="AI42" s="405"/>
      <c r="AJ42" s="405"/>
      <c r="AK42" s="405"/>
      <c r="AL42" s="405"/>
      <c r="AM42" s="405"/>
      <c r="AN42" s="405"/>
      <c r="AO42" s="405"/>
      <c r="AP42" s="405"/>
      <c r="AQ42" s="405"/>
      <c r="AR42" s="405"/>
      <c r="AS42" s="405"/>
      <c r="AT42" s="387">
        <v>15</v>
      </c>
      <c r="AU42" s="387">
        <v>34</v>
      </c>
      <c r="AV42" s="387">
        <v>49</v>
      </c>
      <c r="AW42" s="387">
        <v>15</v>
      </c>
      <c r="AX42" s="387">
        <v>33</v>
      </c>
      <c r="AY42" s="387">
        <v>48</v>
      </c>
      <c r="AZ42" s="387">
        <v>15</v>
      </c>
      <c r="BA42" s="387">
        <v>33</v>
      </c>
      <c r="BB42" s="387">
        <v>48</v>
      </c>
      <c r="BC42" s="396">
        <v>1</v>
      </c>
      <c r="BD42" s="396">
        <v>1</v>
      </c>
      <c r="BE42" s="396">
        <v>1</v>
      </c>
      <c r="BF42" s="387">
        <v>15</v>
      </c>
      <c r="BG42" s="387">
        <v>33</v>
      </c>
      <c r="BH42" s="387">
        <v>48</v>
      </c>
      <c r="BI42" s="387">
        <v>11</v>
      </c>
      <c r="BJ42" s="387">
        <v>23</v>
      </c>
      <c r="BK42" s="387">
        <v>34</v>
      </c>
      <c r="BL42" s="396">
        <v>0.73333333333333328</v>
      </c>
      <c r="BM42" s="396">
        <v>0.69696969696969702</v>
      </c>
      <c r="BN42" s="396">
        <v>0.70833333333333337</v>
      </c>
      <c r="BO42" s="409"/>
      <c r="BP42" s="409"/>
      <c r="BQ42" s="409"/>
      <c r="BR42" s="409"/>
      <c r="BS42" s="409"/>
      <c r="BT42" s="409"/>
      <c r="BU42" s="409"/>
      <c r="BV42" s="409"/>
      <c r="BW42" s="409"/>
      <c r="BX42" s="409"/>
      <c r="BY42" s="409"/>
      <c r="BZ42" s="409"/>
      <c r="CA42" s="409"/>
      <c r="CB42" s="409"/>
      <c r="CC42" s="409"/>
      <c r="CD42" s="409"/>
      <c r="CE42" s="409"/>
      <c r="CF42" s="409"/>
      <c r="CG42" s="409"/>
      <c r="CH42" s="409"/>
      <c r="CI42" s="409"/>
      <c r="CJ42" s="409"/>
      <c r="CK42" s="409"/>
      <c r="CL42" s="409"/>
      <c r="CM42" s="409"/>
      <c r="CN42" s="409"/>
      <c r="CO42" s="409"/>
      <c r="CP42" s="409"/>
      <c r="CQ42" s="409"/>
      <c r="CR42" s="409"/>
      <c r="CS42" s="409"/>
      <c r="CT42" s="409"/>
      <c r="CU42" s="409"/>
      <c r="CV42" s="409"/>
      <c r="CW42" s="409"/>
      <c r="CX42" s="409"/>
      <c r="CY42" s="409"/>
      <c r="CZ42" s="409"/>
      <c r="DA42" s="409"/>
      <c r="DB42" s="409"/>
      <c r="DC42" s="409"/>
      <c r="DD42" s="409"/>
    </row>
    <row r="43" spans="1:108" s="362" customFormat="1" ht="33.75" customHeight="1" x14ac:dyDescent="0.25">
      <c r="A43" s="423">
        <v>37</v>
      </c>
      <c r="B43" s="490"/>
      <c r="C43" s="401" t="s">
        <v>344</v>
      </c>
      <c r="D43" s="403">
        <v>2510</v>
      </c>
      <c r="E43" s="403">
        <v>989</v>
      </c>
      <c r="F43" s="403">
        <v>3499</v>
      </c>
      <c r="G43" s="403">
        <v>1879</v>
      </c>
      <c r="H43" s="403">
        <v>752</v>
      </c>
      <c r="I43" s="403">
        <v>2631</v>
      </c>
      <c r="J43" s="403">
        <v>1624</v>
      </c>
      <c r="K43" s="403">
        <v>667</v>
      </c>
      <c r="L43" s="403">
        <v>2291</v>
      </c>
      <c r="M43" s="396">
        <v>0.86428951569984036</v>
      </c>
      <c r="N43" s="396">
        <v>0.88696808510638303</v>
      </c>
      <c r="O43" s="396">
        <v>0.87077156974534398</v>
      </c>
      <c r="P43" s="403">
        <v>1624</v>
      </c>
      <c r="Q43" s="403">
        <v>667</v>
      </c>
      <c r="R43" s="403">
        <v>2291</v>
      </c>
      <c r="S43" s="403">
        <v>1622</v>
      </c>
      <c r="T43" s="403">
        <v>663</v>
      </c>
      <c r="U43" s="403">
        <v>2285</v>
      </c>
      <c r="V43" s="396">
        <v>0.99876847290640391</v>
      </c>
      <c r="W43" s="396">
        <v>0.99400299850074958</v>
      </c>
      <c r="X43" s="396">
        <v>0.99738105630728935</v>
      </c>
      <c r="Y43" s="403">
        <v>2</v>
      </c>
      <c r="Z43" s="403">
        <v>1</v>
      </c>
      <c r="AA43" s="403">
        <v>3</v>
      </c>
      <c r="AB43" s="403">
        <v>2</v>
      </c>
      <c r="AC43" s="403">
        <v>1</v>
      </c>
      <c r="AD43" s="403">
        <v>3</v>
      </c>
      <c r="AE43" s="403">
        <v>2</v>
      </c>
      <c r="AF43" s="403">
        <v>1</v>
      </c>
      <c r="AG43" s="403">
        <v>3</v>
      </c>
      <c r="AH43" s="396">
        <v>1</v>
      </c>
      <c r="AI43" s="396">
        <v>1</v>
      </c>
      <c r="AJ43" s="396">
        <v>1</v>
      </c>
      <c r="AK43" s="403">
        <v>2</v>
      </c>
      <c r="AL43" s="403">
        <v>1</v>
      </c>
      <c r="AM43" s="403">
        <v>3</v>
      </c>
      <c r="AN43" s="403">
        <v>2</v>
      </c>
      <c r="AO43" s="403">
        <v>1</v>
      </c>
      <c r="AP43" s="403">
        <v>3</v>
      </c>
      <c r="AQ43" s="396">
        <v>1</v>
      </c>
      <c r="AR43" s="396">
        <v>1</v>
      </c>
      <c r="AS43" s="396">
        <v>1</v>
      </c>
      <c r="AT43" s="387">
        <v>1881</v>
      </c>
      <c r="AU43" s="387">
        <v>718</v>
      </c>
      <c r="AV43" s="387">
        <v>2599</v>
      </c>
      <c r="AW43" s="387">
        <v>1392</v>
      </c>
      <c r="AX43" s="387">
        <v>551</v>
      </c>
      <c r="AY43" s="387">
        <v>1943</v>
      </c>
      <c r="AZ43" s="387">
        <v>1206</v>
      </c>
      <c r="BA43" s="387">
        <v>497</v>
      </c>
      <c r="BB43" s="387">
        <v>1703</v>
      </c>
      <c r="BC43" s="396">
        <v>0.86637931034482762</v>
      </c>
      <c r="BD43" s="396">
        <v>0.90199637023593471</v>
      </c>
      <c r="BE43" s="396">
        <v>0.87647967061245502</v>
      </c>
      <c r="BF43" s="387">
        <v>1206</v>
      </c>
      <c r="BG43" s="387">
        <v>497</v>
      </c>
      <c r="BH43" s="387">
        <v>1703</v>
      </c>
      <c r="BI43" s="387">
        <v>1204</v>
      </c>
      <c r="BJ43" s="387">
        <v>494</v>
      </c>
      <c r="BK43" s="387">
        <v>1698</v>
      </c>
      <c r="BL43" s="396">
        <v>0.99834162520729686</v>
      </c>
      <c r="BM43" s="396">
        <v>0.99396378269617702</v>
      </c>
      <c r="BN43" s="396">
        <v>0.99706400469759249</v>
      </c>
      <c r="BO43" s="387">
        <v>627</v>
      </c>
      <c r="BP43" s="387">
        <v>270</v>
      </c>
      <c r="BQ43" s="387">
        <v>897</v>
      </c>
      <c r="BR43" s="387">
        <v>485</v>
      </c>
      <c r="BS43" s="387">
        <v>200</v>
      </c>
      <c r="BT43" s="387">
        <v>685</v>
      </c>
      <c r="BU43" s="387">
        <v>416</v>
      </c>
      <c r="BV43" s="387">
        <v>169</v>
      </c>
      <c r="BW43" s="387">
        <v>585</v>
      </c>
      <c r="BX43" s="396">
        <v>0.85773195876288655</v>
      </c>
      <c r="BY43" s="396">
        <v>0.84499999999999997</v>
      </c>
      <c r="BZ43" s="396">
        <v>0.85401459854014594</v>
      </c>
      <c r="CA43" s="387">
        <v>416</v>
      </c>
      <c r="CB43" s="387">
        <v>169</v>
      </c>
      <c r="CC43" s="387">
        <v>585</v>
      </c>
      <c r="CD43" s="387">
        <v>416</v>
      </c>
      <c r="CE43" s="387">
        <v>168</v>
      </c>
      <c r="CF43" s="387">
        <v>584</v>
      </c>
      <c r="CG43" s="396">
        <v>1</v>
      </c>
      <c r="CH43" s="396">
        <v>0.99408284023668636</v>
      </c>
      <c r="CI43" s="396">
        <v>0.9982905982905983</v>
      </c>
      <c r="CJ43" s="409"/>
      <c r="CK43" s="409"/>
      <c r="CL43" s="409"/>
      <c r="CM43" s="409"/>
      <c r="CN43" s="409"/>
      <c r="CO43" s="409"/>
      <c r="CP43" s="409"/>
      <c r="CQ43" s="409"/>
      <c r="CR43" s="409"/>
      <c r="CS43" s="409"/>
      <c r="CT43" s="409"/>
      <c r="CU43" s="409"/>
      <c r="CV43" s="409"/>
      <c r="CW43" s="409"/>
      <c r="CX43" s="409"/>
      <c r="CY43" s="409"/>
      <c r="CZ43" s="409"/>
      <c r="DA43" s="409"/>
      <c r="DB43" s="409"/>
      <c r="DC43" s="409"/>
      <c r="DD43" s="409"/>
    </row>
    <row r="44" spans="1:108" s="362" customFormat="1" ht="43.5" customHeight="1" x14ac:dyDescent="0.25">
      <c r="A44" s="423">
        <v>38</v>
      </c>
      <c r="B44" s="491"/>
      <c r="C44" s="401" t="s">
        <v>132</v>
      </c>
      <c r="D44" s="403">
        <v>18</v>
      </c>
      <c r="E44" s="403">
        <v>8</v>
      </c>
      <c r="F44" s="403">
        <v>26</v>
      </c>
      <c r="G44" s="403">
        <v>18</v>
      </c>
      <c r="H44" s="403">
        <v>8</v>
      </c>
      <c r="I44" s="403">
        <v>26</v>
      </c>
      <c r="J44" s="403">
        <v>18</v>
      </c>
      <c r="K44" s="403">
        <v>8</v>
      </c>
      <c r="L44" s="403">
        <v>26</v>
      </c>
      <c r="M44" s="396">
        <v>1</v>
      </c>
      <c r="N44" s="396">
        <v>1</v>
      </c>
      <c r="O44" s="396">
        <v>1</v>
      </c>
      <c r="P44" s="403">
        <v>18</v>
      </c>
      <c r="Q44" s="403">
        <v>8</v>
      </c>
      <c r="R44" s="403">
        <v>26</v>
      </c>
      <c r="S44" s="403">
        <v>16</v>
      </c>
      <c r="T44" s="403">
        <v>8</v>
      </c>
      <c r="U44" s="403">
        <v>24</v>
      </c>
      <c r="V44" s="396">
        <v>0.88888888888888884</v>
      </c>
      <c r="W44" s="396">
        <v>1</v>
      </c>
      <c r="X44" s="396">
        <v>0.92307692307692313</v>
      </c>
      <c r="Y44" s="405"/>
      <c r="Z44" s="405"/>
      <c r="AA44" s="405"/>
      <c r="AB44" s="405"/>
      <c r="AC44" s="405"/>
      <c r="AD44" s="405"/>
      <c r="AE44" s="405"/>
      <c r="AF44" s="405"/>
      <c r="AG44" s="405"/>
      <c r="AH44" s="405"/>
      <c r="AI44" s="405"/>
      <c r="AJ44" s="405"/>
      <c r="AK44" s="405"/>
      <c r="AL44" s="405"/>
      <c r="AM44" s="405"/>
      <c r="AN44" s="405"/>
      <c r="AO44" s="405"/>
      <c r="AP44" s="405"/>
      <c r="AQ44" s="405"/>
      <c r="AR44" s="405"/>
      <c r="AS44" s="405"/>
      <c r="AT44" s="409"/>
      <c r="AU44" s="409"/>
      <c r="AV44" s="409"/>
      <c r="AW44" s="409"/>
      <c r="AX44" s="409"/>
      <c r="AY44" s="409"/>
      <c r="AZ44" s="409"/>
      <c r="BA44" s="409"/>
      <c r="BB44" s="409"/>
      <c r="BC44" s="409"/>
      <c r="BD44" s="409"/>
      <c r="BE44" s="409"/>
      <c r="BF44" s="409"/>
      <c r="BG44" s="409"/>
      <c r="BH44" s="409"/>
      <c r="BI44" s="409"/>
      <c r="BJ44" s="409"/>
      <c r="BK44" s="409"/>
      <c r="BL44" s="409"/>
      <c r="BM44" s="409"/>
      <c r="BN44" s="409"/>
      <c r="BO44" s="403">
        <v>18</v>
      </c>
      <c r="BP44" s="403">
        <v>8</v>
      </c>
      <c r="BQ44" s="403">
        <v>26</v>
      </c>
      <c r="BR44" s="403">
        <v>18</v>
      </c>
      <c r="BS44" s="403">
        <v>8</v>
      </c>
      <c r="BT44" s="403">
        <v>26</v>
      </c>
      <c r="BU44" s="403">
        <v>18</v>
      </c>
      <c r="BV44" s="403">
        <v>8</v>
      </c>
      <c r="BW44" s="403">
        <v>26</v>
      </c>
      <c r="BX44" s="396">
        <v>1</v>
      </c>
      <c r="BY44" s="396">
        <v>1</v>
      </c>
      <c r="BZ44" s="396">
        <v>1</v>
      </c>
      <c r="CA44" s="403">
        <v>18</v>
      </c>
      <c r="CB44" s="403">
        <v>8</v>
      </c>
      <c r="CC44" s="403">
        <v>26</v>
      </c>
      <c r="CD44" s="403">
        <v>16</v>
      </c>
      <c r="CE44" s="403">
        <v>8</v>
      </c>
      <c r="CF44" s="403">
        <v>24</v>
      </c>
      <c r="CG44" s="396">
        <v>0.88888888888888884</v>
      </c>
      <c r="CH44" s="396">
        <v>1</v>
      </c>
      <c r="CI44" s="396">
        <v>0.92307692307692313</v>
      </c>
      <c r="CJ44" s="409"/>
      <c r="CK44" s="409"/>
      <c r="CL44" s="409"/>
      <c r="CM44" s="409"/>
      <c r="CN44" s="409"/>
      <c r="CO44" s="409"/>
      <c r="CP44" s="409"/>
      <c r="CQ44" s="409"/>
      <c r="CR44" s="409"/>
      <c r="CS44" s="409"/>
      <c r="CT44" s="409"/>
      <c r="CU44" s="409"/>
      <c r="CV44" s="409"/>
      <c r="CW44" s="409"/>
      <c r="CX44" s="409"/>
      <c r="CY44" s="409"/>
      <c r="CZ44" s="409"/>
      <c r="DA44" s="409"/>
      <c r="DB44" s="409"/>
      <c r="DC44" s="409"/>
      <c r="DD44" s="409"/>
    </row>
    <row r="45" spans="1:108" s="378" customFormat="1" ht="35.25" customHeight="1" x14ac:dyDescent="0.25">
      <c r="A45" s="423">
        <v>39</v>
      </c>
      <c r="B45" s="492" t="s">
        <v>385</v>
      </c>
      <c r="C45" s="401" t="s">
        <v>169</v>
      </c>
      <c r="D45" s="403">
        <v>19055</v>
      </c>
      <c r="E45" s="403">
        <v>18344</v>
      </c>
      <c r="F45" s="403">
        <v>37399</v>
      </c>
      <c r="G45" s="403">
        <v>18610</v>
      </c>
      <c r="H45" s="403">
        <v>18061</v>
      </c>
      <c r="I45" s="403">
        <v>36671</v>
      </c>
      <c r="J45" s="403">
        <v>11812</v>
      </c>
      <c r="K45" s="403">
        <v>14204</v>
      </c>
      <c r="L45" s="403">
        <v>26016</v>
      </c>
      <c r="M45" s="396">
        <v>0.63471252015045676</v>
      </c>
      <c r="N45" s="396">
        <v>0.78644593322628864</v>
      </c>
      <c r="O45" s="396">
        <v>0.70944342941288752</v>
      </c>
      <c r="P45" s="403">
        <v>11812</v>
      </c>
      <c r="Q45" s="403">
        <v>14204</v>
      </c>
      <c r="R45" s="403">
        <v>26016</v>
      </c>
      <c r="S45" s="403">
        <v>2145</v>
      </c>
      <c r="T45" s="403">
        <v>3618</v>
      </c>
      <c r="U45" s="403">
        <v>5763</v>
      </c>
      <c r="V45" s="396">
        <v>0.18159498814764646</v>
      </c>
      <c r="W45" s="396">
        <v>0.25471698113207547</v>
      </c>
      <c r="X45" s="396">
        <v>0.22151752767527674</v>
      </c>
      <c r="Y45" s="403">
        <v>11335</v>
      </c>
      <c r="Z45" s="403">
        <v>12309</v>
      </c>
      <c r="AA45" s="403">
        <v>23644</v>
      </c>
      <c r="AB45" s="403">
        <v>11085</v>
      </c>
      <c r="AC45" s="403">
        <v>12135</v>
      </c>
      <c r="AD45" s="403">
        <v>23220</v>
      </c>
      <c r="AE45" s="403">
        <v>6746</v>
      </c>
      <c r="AF45" s="403">
        <v>9434</v>
      </c>
      <c r="AG45" s="403">
        <v>16180</v>
      </c>
      <c r="AH45" s="396">
        <v>0.6085701398285972</v>
      </c>
      <c r="AI45" s="396">
        <v>0.77742068397198183</v>
      </c>
      <c r="AJ45" s="396">
        <v>0.69681309216192933</v>
      </c>
      <c r="AK45" s="403">
        <v>6746</v>
      </c>
      <c r="AL45" s="403">
        <v>9434</v>
      </c>
      <c r="AM45" s="403">
        <v>16180</v>
      </c>
      <c r="AN45" s="403">
        <v>999</v>
      </c>
      <c r="AO45" s="403">
        <v>2070</v>
      </c>
      <c r="AP45" s="403">
        <v>3069</v>
      </c>
      <c r="AQ45" s="396">
        <v>0.14808775570708568</v>
      </c>
      <c r="AR45" s="396">
        <v>0.21941912232351071</v>
      </c>
      <c r="AS45" s="396">
        <v>0.18967861557478369</v>
      </c>
      <c r="AT45" s="387">
        <v>3814</v>
      </c>
      <c r="AU45" s="387">
        <v>3332</v>
      </c>
      <c r="AV45" s="387">
        <v>7146</v>
      </c>
      <c r="AW45" s="387">
        <v>3685</v>
      </c>
      <c r="AX45" s="387">
        <v>3270</v>
      </c>
      <c r="AY45" s="387">
        <v>6955</v>
      </c>
      <c r="AZ45" s="387">
        <v>2299</v>
      </c>
      <c r="BA45" s="387">
        <v>2573</v>
      </c>
      <c r="BB45" s="387">
        <v>4872</v>
      </c>
      <c r="BC45" s="396">
        <v>0.62388059701492538</v>
      </c>
      <c r="BD45" s="396">
        <v>0.78685015290519877</v>
      </c>
      <c r="BE45" s="396">
        <v>0.70050323508267431</v>
      </c>
      <c r="BF45" s="387">
        <v>2299</v>
      </c>
      <c r="BG45" s="387">
        <v>2573</v>
      </c>
      <c r="BH45" s="387">
        <v>4872</v>
      </c>
      <c r="BI45" s="387">
        <v>413</v>
      </c>
      <c r="BJ45" s="387">
        <v>684</v>
      </c>
      <c r="BK45" s="387">
        <v>1097</v>
      </c>
      <c r="BL45" s="396">
        <v>0.17964332318399304</v>
      </c>
      <c r="BM45" s="396">
        <v>0.26583754372328022</v>
      </c>
      <c r="BN45" s="396">
        <v>0.22516420361247946</v>
      </c>
      <c r="BO45" s="387">
        <v>3906</v>
      </c>
      <c r="BP45" s="387">
        <v>2703</v>
      </c>
      <c r="BQ45" s="387">
        <v>6609</v>
      </c>
      <c r="BR45" s="387">
        <v>3840</v>
      </c>
      <c r="BS45" s="387">
        <v>2656</v>
      </c>
      <c r="BT45" s="387">
        <v>6496</v>
      </c>
      <c r="BU45" s="387">
        <v>2767</v>
      </c>
      <c r="BV45" s="387">
        <v>2197</v>
      </c>
      <c r="BW45" s="387">
        <v>4964</v>
      </c>
      <c r="BX45" s="396">
        <v>0.72057291666666667</v>
      </c>
      <c r="BY45" s="396">
        <v>0.82718373493975905</v>
      </c>
      <c r="BZ45" s="396">
        <v>0.76416256157635465</v>
      </c>
      <c r="CA45" s="387">
        <v>2767</v>
      </c>
      <c r="CB45" s="387">
        <v>2197</v>
      </c>
      <c r="CC45" s="387">
        <v>4964</v>
      </c>
      <c r="CD45" s="387">
        <v>733</v>
      </c>
      <c r="CE45" s="387">
        <v>864</v>
      </c>
      <c r="CF45" s="387">
        <v>1597</v>
      </c>
      <c r="CG45" s="396">
        <v>0.26490784242862303</v>
      </c>
      <c r="CH45" s="396">
        <v>0.39326354119253526</v>
      </c>
      <c r="CI45" s="396">
        <v>0.32171635777598712</v>
      </c>
      <c r="CJ45" s="409"/>
      <c r="CK45" s="409"/>
      <c r="CL45" s="409"/>
      <c r="CM45" s="409"/>
      <c r="CN45" s="409"/>
      <c r="CO45" s="409"/>
      <c r="CP45" s="409"/>
      <c r="CQ45" s="409"/>
      <c r="CR45" s="409"/>
      <c r="CS45" s="409"/>
      <c r="CT45" s="409"/>
      <c r="CU45" s="409"/>
      <c r="CV45" s="409"/>
      <c r="CW45" s="409"/>
      <c r="CX45" s="409"/>
      <c r="CY45" s="409"/>
      <c r="CZ45" s="409"/>
      <c r="DA45" s="409"/>
      <c r="DB45" s="409"/>
      <c r="DC45" s="409"/>
      <c r="DD45" s="409"/>
    </row>
    <row r="46" spans="1:108" s="362" customFormat="1" ht="27.75" customHeight="1" x14ac:dyDescent="0.25">
      <c r="A46" s="423">
        <v>40</v>
      </c>
      <c r="B46" s="493"/>
      <c r="C46" s="401" t="s">
        <v>214</v>
      </c>
      <c r="D46" s="403">
        <v>49</v>
      </c>
      <c r="E46" s="403">
        <v>19</v>
      </c>
      <c r="F46" s="403">
        <v>68</v>
      </c>
      <c r="G46" s="403">
        <v>49</v>
      </c>
      <c r="H46" s="403">
        <v>19</v>
      </c>
      <c r="I46" s="403">
        <v>68</v>
      </c>
      <c r="J46" s="403">
        <v>38</v>
      </c>
      <c r="K46" s="403">
        <v>15</v>
      </c>
      <c r="L46" s="403">
        <v>53</v>
      </c>
      <c r="M46" s="396">
        <v>0.77551020408163263</v>
      </c>
      <c r="N46" s="396">
        <v>0.78947368421052633</v>
      </c>
      <c r="O46" s="396">
        <v>0.77941176470588236</v>
      </c>
      <c r="P46" s="403">
        <v>38</v>
      </c>
      <c r="Q46" s="403">
        <v>15</v>
      </c>
      <c r="R46" s="403">
        <v>53</v>
      </c>
      <c r="S46" s="403">
        <v>2</v>
      </c>
      <c r="T46" s="403">
        <v>2</v>
      </c>
      <c r="U46" s="403">
        <v>4</v>
      </c>
      <c r="V46" s="396">
        <v>5.2631578947368418E-2</v>
      </c>
      <c r="W46" s="396">
        <v>0.13333333333333333</v>
      </c>
      <c r="X46" s="396">
        <v>7.5471698113207544E-2</v>
      </c>
      <c r="Y46" s="403">
        <v>3</v>
      </c>
      <c r="Z46" s="403">
        <v>5</v>
      </c>
      <c r="AA46" s="403">
        <v>8</v>
      </c>
      <c r="AB46" s="403">
        <v>3</v>
      </c>
      <c r="AC46" s="403">
        <v>5</v>
      </c>
      <c r="AD46" s="403">
        <v>8</v>
      </c>
      <c r="AE46" s="403">
        <v>2</v>
      </c>
      <c r="AF46" s="403">
        <v>3</v>
      </c>
      <c r="AG46" s="403">
        <v>5</v>
      </c>
      <c r="AH46" s="396">
        <v>0.66666666666666663</v>
      </c>
      <c r="AI46" s="396">
        <v>0.6</v>
      </c>
      <c r="AJ46" s="396">
        <v>0.625</v>
      </c>
      <c r="AK46" s="403">
        <v>2</v>
      </c>
      <c r="AL46" s="403">
        <v>3</v>
      </c>
      <c r="AM46" s="403">
        <v>5</v>
      </c>
      <c r="AN46" s="403">
        <v>0</v>
      </c>
      <c r="AO46" s="403">
        <v>0</v>
      </c>
      <c r="AP46" s="403">
        <v>0</v>
      </c>
      <c r="AQ46" s="396">
        <v>0</v>
      </c>
      <c r="AR46" s="396">
        <v>0</v>
      </c>
      <c r="AS46" s="396">
        <v>0</v>
      </c>
      <c r="AT46" s="387">
        <v>43</v>
      </c>
      <c r="AU46" s="387">
        <v>11</v>
      </c>
      <c r="AV46" s="387">
        <v>54</v>
      </c>
      <c r="AW46" s="387">
        <v>43</v>
      </c>
      <c r="AX46" s="387">
        <v>11</v>
      </c>
      <c r="AY46" s="387">
        <v>54</v>
      </c>
      <c r="AZ46" s="387">
        <v>33</v>
      </c>
      <c r="BA46" s="387">
        <v>9</v>
      </c>
      <c r="BB46" s="387">
        <v>42</v>
      </c>
      <c r="BC46" s="396">
        <v>0.76744186046511631</v>
      </c>
      <c r="BD46" s="396">
        <v>0.81818181818181823</v>
      </c>
      <c r="BE46" s="396">
        <v>0.77777777777777779</v>
      </c>
      <c r="BF46" s="387">
        <v>33</v>
      </c>
      <c r="BG46" s="387">
        <v>9</v>
      </c>
      <c r="BH46" s="387">
        <v>42</v>
      </c>
      <c r="BI46" s="387">
        <v>2</v>
      </c>
      <c r="BJ46" s="387">
        <v>2</v>
      </c>
      <c r="BK46" s="387">
        <v>4</v>
      </c>
      <c r="BL46" s="396">
        <v>6.0606060606060608E-2</v>
      </c>
      <c r="BM46" s="396">
        <v>0.22222222222222221</v>
      </c>
      <c r="BN46" s="396">
        <v>9.5238095238095233E-2</v>
      </c>
      <c r="BO46" s="387">
        <v>3</v>
      </c>
      <c r="BP46" s="387">
        <v>3</v>
      </c>
      <c r="BQ46" s="387">
        <v>6</v>
      </c>
      <c r="BR46" s="387">
        <v>3</v>
      </c>
      <c r="BS46" s="387">
        <v>3</v>
      </c>
      <c r="BT46" s="387">
        <v>6</v>
      </c>
      <c r="BU46" s="387">
        <v>3</v>
      </c>
      <c r="BV46" s="387">
        <v>3</v>
      </c>
      <c r="BW46" s="387">
        <v>6</v>
      </c>
      <c r="BX46" s="396">
        <v>1</v>
      </c>
      <c r="BY46" s="396">
        <v>1</v>
      </c>
      <c r="BZ46" s="396">
        <v>1</v>
      </c>
      <c r="CA46" s="387">
        <v>3</v>
      </c>
      <c r="CB46" s="387">
        <v>3</v>
      </c>
      <c r="CC46" s="387">
        <v>6</v>
      </c>
      <c r="CD46" s="387">
        <v>0</v>
      </c>
      <c r="CE46" s="387">
        <v>0</v>
      </c>
      <c r="CF46" s="387">
        <v>0</v>
      </c>
      <c r="CG46" s="396">
        <v>0</v>
      </c>
      <c r="CH46" s="396">
        <v>0</v>
      </c>
      <c r="CI46" s="396">
        <v>0</v>
      </c>
      <c r="CJ46" s="409"/>
      <c r="CK46" s="409"/>
      <c r="CL46" s="409"/>
      <c r="CM46" s="409"/>
      <c r="CN46" s="409"/>
      <c r="CO46" s="409"/>
      <c r="CP46" s="409"/>
      <c r="CQ46" s="409"/>
      <c r="CR46" s="409"/>
      <c r="CS46" s="409"/>
      <c r="CT46" s="409"/>
      <c r="CU46" s="409"/>
      <c r="CV46" s="409"/>
      <c r="CW46" s="409"/>
      <c r="CX46" s="409"/>
      <c r="CY46" s="409"/>
      <c r="CZ46" s="409"/>
      <c r="DA46" s="409"/>
      <c r="DB46" s="409"/>
      <c r="DC46" s="409"/>
      <c r="DD46" s="409"/>
    </row>
    <row r="47" spans="1:108" s="362" customFormat="1" ht="31.5" x14ac:dyDescent="0.25">
      <c r="A47" s="423">
        <v>41</v>
      </c>
      <c r="B47" s="487" t="s">
        <v>386</v>
      </c>
      <c r="C47" s="401" t="s">
        <v>314</v>
      </c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5"/>
      <c r="O47" s="405"/>
      <c r="P47" s="405"/>
      <c r="Q47" s="405"/>
      <c r="R47" s="405"/>
      <c r="S47" s="405"/>
      <c r="T47" s="405"/>
      <c r="U47" s="405"/>
      <c r="V47" s="405"/>
      <c r="W47" s="405"/>
      <c r="X47" s="405"/>
      <c r="Y47" s="405"/>
      <c r="Z47" s="405"/>
      <c r="AA47" s="405"/>
      <c r="AB47" s="405"/>
      <c r="AC47" s="405"/>
      <c r="AD47" s="405"/>
      <c r="AE47" s="405"/>
      <c r="AF47" s="405"/>
      <c r="AG47" s="405"/>
      <c r="AH47" s="405"/>
      <c r="AI47" s="405"/>
      <c r="AJ47" s="405"/>
      <c r="AK47" s="405"/>
      <c r="AL47" s="405"/>
      <c r="AM47" s="405"/>
      <c r="AN47" s="405"/>
      <c r="AO47" s="405"/>
      <c r="AP47" s="405"/>
      <c r="AQ47" s="405"/>
      <c r="AR47" s="405"/>
      <c r="AS47" s="405"/>
      <c r="AT47" s="409"/>
      <c r="AU47" s="409"/>
      <c r="AV47" s="409"/>
      <c r="AW47" s="409"/>
      <c r="AX47" s="409"/>
      <c r="AY47" s="409"/>
      <c r="AZ47" s="409"/>
      <c r="BA47" s="409"/>
      <c r="BB47" s="409"/>
      <c r="BC47" s="409"/>
      <c r="BD47" s="409"/>
      <c r="BE47" s="409"/>
      <c r="BF47" s="409"/>
      <c r="BG47" s="409"/>
      <c r="BH47" s="409"/>
      <c r="BI47" s="409"/>
      <c r="BJ47" s="409"/>
      <c r="BK47" s="409"/>
      <c r="BL47" s="409"/>
      <c r="BM47" s="409"/>
      <c r="BN47" s="409"/>
      <c r="BO47" s="409"/>
      <c r="BP47" s="409"/>
      <c r="BQ47" s="409"/>
      <c r="BR47" s="409"/>
      <c r="BS47" s="409"/>
      <c r="BT47" s="409"/>
      <c r="BU47" s="409"/>
      <c r="BV47" s="409"/>
      <c r="BW47" s="409"/>
      <c r="BX47" s="409"/>
      <c r="BY47" s="409"/>
      <c r="BZ47" s="409"/>
      <c r="CA47" s="409"/>
      <c r="CB47" s="409"/>
      <c r="CC47" s="409"/>
      <c r="CD47" s="409"/>
      <c r="CE47" s="409"/>
      <c r="CF47" s="409"/>
      <c r="CG47" s="409"/>
      <c r="CH47" s="409"/>
      <c r="CI47" s="409"/>
      <c r="CJ47" s="409"/>
      <c r="CK47" s="409"/>
      <c r="CL47" s="409"/>
      <c r="CM47" s="409"/>
      <c r="CN47" s="409"/>
      <c r="CO47" s="409"/>
      <c r="CP47" s="409"/>
      <c r="CQ47" s="409"/>
      <c r="CR47" s="409"/>
      <c r="CS47" s="409"/>
      <c r="CT47" s="409"/>
      <c r="CU47" s="409"/>
      <c r="CV47" s="409"/>
      <c r="CW47" s="409"/>
      <c r="CX47" s="409"/>
      <c r="CY47" s="409"/>
      <c r="CZ47" s="409"/>
      <c r="DA47" s="409"/>
      <c r="DB47" s="409"/>
      <c r="DC47" s="409"/>
      <c r="DD47" s="409"/>
    </row>
    <row r="48" spans="1:108" s="362" customFormat="1" ht="30" customHeight="1" x14ac:dyDescent="0.25">
      <c r="A48" s="423">
        <v>42</v>
      </c>
      <c r="B48" s="487"/>
      <c r="C48" s="401" t="s">
        <v>171</v>
      </c>
      <c r="D48" s="403">
        <v>364</v>
      </c>
      <c r="E48" s="403">
        <v>524</v>
      </c>
      <c r="F48" s="403">
        <v>888</v>
      </c>
      <c r="G48" s="403">
        <v>303</v>
      </c>
      <c r="H48" s="403">
        <v>468</v>
      </c>
      <c r="I48" s="403">
        <v>771</v>
      </c>
      <c r="J48" s="403">
        <v>253</v>
      </c>
      <c r="K48" s="403">
        <v>390</v>
      </c>
      <c r="L48" s="403">
        <v>643</v>
      </c>
      <c r="M48" s="396">
        <v>0.83498349834983498</v>
      </c>
      <c r="N48" s="396">
        <v>0.83333333333333337</v>
      </c>
      <c r="O48" s="396">
        <v>0.83398184176394297</v>
      </c>
      <c r="P48" s="403">
        <v>253</v>
      </c>
      <c r="Q48" s="403">
        <v>390</v>
      </c>
      <c r="R48" s="403">
        <v>643</v>
      </c>
      <c r="S48" s="403">
        <v>21</v>
      </c>
      <c r="T48" s="403">
        <v>15</v>
      </c>
      <c r="U48" s="403">
        <v>36</v>
      </c>
      <c r="V48" s="396">
        <v>8.3003952569169967E-2</v>
      </c>
      <c r="W48" s="396">
        <v>3.8461538461538464E-2</v>
      </c>
      <c r="X48" s="396">
        <v>5.5987558320373249E-2</v>
      </c>
      <c r="Y48" s="405"/>
      <c r="Z48" s="405"/>
      <c r="AA48" s="405"/>
      <c r="AB48" s="405"/>
      <c r="AC48" s="405"/>
      <c r="AD48" s="405"/>
      <c r="AE48" s="405"/>
      <c r="AF48" s="405"/>
      <c r="AG48" s="405"/>
      <c r="AH48" s="405"/>
      <c r="AI48" s="405"/>
      <c r="AJ48" s="405"/>
      <c r="AK48" s="405"/>
      <c r="AL48" s="405"/>
      <c r="AM48" s="405"/>
      <c r="AN48" s="405"/>
      <c r="AO48" s="405"/>
      <c r="AP48" s="405"/>
      <c r="AQ48" s="405"/>
      <c r="AR48" s="405"/>
      <c r="AS48" s="405"/>
      <c r="AT48" s="387">
        <v>361</v>
      </c>
      <c r="AU48" s="387">
        <v>522</v>
      </c>
      <c r="AV48" s="387">
        <v>883</v>
      </c>
      <c r="AW48" s="387">
        <v>300</v>
      </c>
      <c r="AX48" s="387">
        <v>466</v>
      </c>
      <c r="AY48" s="387">
        <v>766</v>
      </c>
      <c r="AZ48" s="387">
        <v>253</v>
      </c>
      <c r="BA48" s="387">
        <v>390</v>
      </c>
      <c r="BB48" s="387">
        <v>643</v>
      </c>
      <c r="BC48" s="396">
        <v>0.84333333333333338</v>
      </c>
      <c r="BD48" s="396">
        <v>0.83690987124463523</v>
      </c>
      <c r="BE48" s="396">
        <v>0.83942558746736295</v>
      </c>
      <c r="BF48" s="387">
        <v>253</v>
      </c>
      <c r="BG48" s="387">
        <v>390</v>
      </c>
      <c r="BH48" s="387">
        <v>643</v>
      </c>
      <c r="BI48" s="387">
        <v>21</v>
      </c>
      <c r="BJ48" s="387">
        <v>15</v>
      </c>
      <c r="BK48" s="387">
        <v>36</v>
      </c>
      <c r="BL48" s="396">
        <v>8.3003952569169967E-2</v>
      </c>
      <c r="BM48" s="396">
        <v>3.8461538461538464E-2</v>
      </c>
      <c r="BN48" s="396">
        <v>5.5987558320373249E-2</v>
      </c>
      <c r="BO48" s="387">
        <v>3</v>
      </c>
      <c r="BP48" s="387">
        <v>2</v>
      </c>
      <c r="BQ48" s="387">
        <v>5</v>
      </c>
      <c r="BR48" s="387">
        <v>3</v>
      </c>
      <c r="BS48" s="387">
        <v>2</v>
      </c>
      <c r="BT48" s="387">
        <v>5</v>
      </c>
      <c r="BU48" s="387">
        <v>0</v>
      </c>
      <c r="BV48" s="387">
        <v>0</v>
      </c>
      <c r="BW48" s="387">
        <v>0</v>
      </c>
      <c r="BX48" s="396">
        <v>0</v>
      </c>
      <c r="BY48" s="396">
        <v>0</v>
      </c>
      <c r="BZ48" s="396">
        <v>0</v>
      </c>
      <c r="CA48" s="387">
        <v>0</v>
      </c>
      <c r="CB48" s="387">
        <v>0</v>
      </c>
      <c r="CC48" s="387">
        <v>0</v>
      </c>
      <c r="CD48" s="387">
        <v>0</v>
      </c>
      <c r="CE48" s="387">
        <v>0</v>
      </c>
      <c r="CF48" s="387">
        <v>0</v>
      </c>
      <c r="CG48" s="409"/>
      <c r="CH48" s="409"/>
      <c r="CI48" s="409"/>
      <c r="CJ48" s="409"/>
      <c r="CK48" s="409"/>
      <c r="CL48" s="409"/>
      <c r="CM48" s="409"/>
      <c r="CN48" s="409"/>
      <c r="CO48" s="409"/>
      <c r="CP48" s="409"/>
      <c r="CQ48" s="409"/>
      <c r="CR48" s="409"/>
      <c r="CS48" s="409"/>
      <c r="CT48" s="409"/>
      <c r="CU48" s="409"/>
      <c r="CV48" s="409"/>
      <c r="CW48" s="409"/>
      <c r="CX48" s="409"/>
      <c r="CY48" s="409"/>
      <c r="CZ48" s="409"/>
      <c r="DA48" s="409"/>
      <c r="DB48" s="409"/>
      <c r="DC48" s="409"/>
      <c r="DD48" s="409"/>
    </row>
    <row r="49" spans="1:108" ht="21" customHeight="1" x14ac:dyDescent="0.25">
      <c r="A49" s="485" t="s">
        <v>3</v>
      </c>
      <c r="B49" s="485"/>
      <c r="C49" s="485"/>
      <c r="D49" s="431">
        <v>1680631</v>
      </c>
      <c r="E49" s="431">
        <v>1478655</v>
      </c>
      <c r="F49" s="431">
        <v>3159286</v>
      </c>
      <c r="G49" s="431">
        <v>1589517</v>
      </c>
      <c r="H49" s="431">
        <v>1424046</v>
      </c>
      <c r="I49" s="431">
        <v>3013563</v>
      </c>
      <c r="J49" s="431">
        <v>1241431</v>
      </c>
      <c r="K49" s="431">
        <v>1173763</v>
      </c>
      <c r="L49" s="431">
        <v>2415194</v>
      </c>
      <c r="M49" s="432">
        <v>0.78101146448889824</v>
      </c>
      <c r="N49" s="432">
        <v>0.82424514376642333</v>
      </c>
      <c r="O49" s="432">
        <v>0.80144135032186148</v>
      </c>
      <c r="P49" s="431">
        <v>1241431</v>
      </c>
      <c r="Q49" s="431">
        <v>1173763</v>
      </c>
      <c r="R49" s="431">
        <v>2415194</v>
      </c>
      <c r="S49" s="431">
        <v>679866</v>
      </c>
      <c r="T49" s="431">
        <v>728958</v>
      </c>
      <c r="U49" s="431">
        <v>1408824</v>
      </c>
      <c r="V49" s="432">
        <v>0.5476470299195042</v>
      </c>
      <c r="W49" s="432">
        <v>0.62104360079504972</v>
      </c>
      <c r="X49" s="432">
        <v>0.58331711655461216</v>
      </c>
      <c r="Y49" s="431">
        <v>725760</v>
      </c>
      <c r="Z49" s="431">
        <v>712251</v>
      </c>
      <c r="AA49" s="431">
        <v>1438011</v>
      </c>
      <c r="AB49" s="431">
        <v>690074</v>
      </c>
      <c r="AC49" s="431">
        <v>683860</v>
      </c>
      <c r="AD49" s="431">
        <v>1373934</v>
      </c>
      <c r="AE49" s="431">
        <v>496420</v>
      </c>
      <c r="AF49" s="431">
        <v>517046</v>
      </c>
      <c r="AG49" s="431">
        <v>1013466</v>
      </c>
      <c r="AH49" s="432">
        <v>0.7193721253083003</v>
      </c>
      <c r="AI49" s="432">
        <v>0.75606995583891434</v>
      </c>
      <c r="AJ49" s="432">
        <v>0.7376380524828704</v>
      </c>
      <c r="AK49" s="431">
        <v>496420</v>
      </c>
      <c r="AL49" s="431">
        <v>517046</v>
      </c>
      <c r="AM49" s="431">
        <v>1013466</v>
      </c>
      <c r="AN49" s="431">
        <v>217223</v>
      </c>
      <c r="AO49" s="431">
        <v>257343</v>
      </c>
      <c r="AP49" s="431">
        <v>474566</v>
      </c>
      <c r="AQ49" s="432">
        <v>0.43757906611337172</v>
      </c>
      <c r="AR49" s="432">
        <v>0.49771780460539294</v>
      </c>
      <c r="AS49" s="432">
        <v>0.46826040538113761</v>
      </c>
      <c r="AT49" s="431">
        <v>232226</v>
      </c>
      <c r="AU49" s="431">
        <v>197827</v>
      </c>
      <c r="AV49" s="431">
        <v>430053</v>
      </c>
      <c r="AW49" s="431">
        <v>221228</v>
      </c>
      <c r="AX49" s="431">
        <v>192269</v>
      </c>
      <c r="AY49" s="431">
        <v>413497</v>
      </c>
      <c r="AZ49" s="431">
        <v>168920</v>
      </c>
      <c r="BA49" s="431">
        <v>161311</v>
      </c>
      <c r="BB49" s="431">
        <v>330231</v>
      </c>
      <c r="BC49" s="432">
        <v>0.76355615021606671</v>
      </c>
      <c r="BD49" s="432">
        <v>0.83898600398400158</v>
      </c>
      <c r="BE49" s="432">
        <v>0.79862973612867805</v>
      </c>
      <c r="BF49" s="431">
        <v>168920</v>
      </c>
      <c r="BG49" s="431">
        <v>161311</v>
      </c>
      <c r="BH49" s="431">
        <v>330231</v>
      </c>
      <c r="BI49" s="431">
        <v>87642</v>
      </c>
      <c r="BJ49" s="431">
        <v>99610</v>
      </c>
      <c r="BK49" s="431">
        <v>187252</v>
      </c>
      <c r="BL49" s="432">
        <v>0.51883731944115563</v>
      </c>
      <c r="BM49" s="432">
        <v>0.61750283613640733</v>
      </c>
      <c r="BN49" s="432">
        <v>0.56703337966453782</v>
      </c>
      <c r="BO49" s="431">
        <v>496490</v>
      </c>
      <c r="BP49" s="431">
        <v>355592</v>
      </c>
      <c r="BQ49" s="431">
        <v>852082</v>
      </c>
      <c r="BR49" s="431">
        <v>456623</v>
      </c>
      <c r="BS49" s="431">
        <v>336878</v>
      </c>
      <c r="BT49" s="431">
        <v>793501</v>
      </c>
      <c r="BU49" s="431">
        <v>368212</v>
      </c>
      <c r="BV49" s="431">
        <v>293721</v>
      </c>
      <c r="BW49" s="431">
        <v>661933</v>
      </c>
      <c r="BX49" s="432">
        <v>0.80638075611609572</v>
      </c>
      <c r="BY49" s="432">
        <v>0.87189130783250912</v>
      </c>
      <c r="BZ49" s="432">
        <v>0.83419302559165021</v>
      </c>
      <c r="CA49" s="431">
        <v>368212</v>
      </c>
      <c r="CB49" s="431">
        <v>293721</v>
      </c>
      <c r="CC49" s="431">
        <v>661933</v>
      </c>
      <c r="CD49" s="431">
        <v>245761</v>
      </c>
      <c r="CE49" s="431">
        <v>227818</v>
      </c>
      <c r="CF49" s="431">
        <v>473579</v>
      </c>
      <c r="CG49" s="432">
        <v>0.66744429839331687</v>
      </c>
      <c r="CH49" s="432">
        <v>0.77562721085656117</v>
      </c>
      <c r="CI49" s="432">
        <v>0.71544854237513467</v>
      </c>
      <c r="CJ49" s="431">
        <v>34206</v>
      </c>
      <c r="CK49" s="431">
        <v>35097</v>
      </c>
      <c r="CL49" s="431">
        <v>69303</v>
      </c>
      <c r="CM49" s="431">
        <v>33436</v>
      </c>
      <c r="CN49" s="431">
        <v>34659</v>
      </c>
      <c r="CO49" s="431">
        <v>68095</v>
      </c>
      <c r="CP49" s="431">
        <v>31461</v>
      </c>
      <c r="CQ49" s="431">
        <v>33536</v>
      </c>
      <c r="CR49" s="431">
        <v>64997</v>
      </c>
      <c r="CS49" s="432">
        <v>0.94093192965665751</v>
      </c>
      <c r="CT49" s="432">
        <v>0.96759860353732075</v>
      </c>
      <c r="CU49" s="432">
        <v>0.95450473603054553</v>
      </c>
      <c r="CV49" s="431">
        <v>31461</v>
      </c>
      <c r="CW49" s="431">
        <v>33536</v>
      </c>
      <c r="CX49" s="431">
        <v>64997</v>
      </c>
      <c r="CY49" s="431">
        <v>23350</v>
      </c>
      <c r="CZ49" s="431">
        <v>28698</v>
      </c>
      <c r="DA49" s="431">
        <v>52048</v>
      </c>
      <c r="DB49" s="432">
        <v>0.74218874161660464</v>
      </c>
      <c r="DC49" s="432">
        <v>0.85573711832061072</v>
      </c>
      <c r="DD49" s="432">
        <v>0.80077542040401861</v>
      </c>
    </row>
    <row r="50" spans="1:108" ht="17.25" customHeight="1" x14ac:dyDescent="0.25">
      <c r="A50" s="433"/>
      <c r="B50" s="433"/>
      <c r="C50" s="434"/>
      <c r="D50" s="500" t="s">
        <v>422</v>
      </c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 t="s">
        <v>278</v>
      </c>
      <c r="Q50" s="500"/>
      <c r="R50" s="500"/>
      <c r="S50" s="500"/>
      <c r="T50" s="500"/>
      <c r="U50" s="500"/>
      <c r="V50" s="500"/>
      <c r="W50" s="500"/>
      <c r="X50" s="500"/>
      <c r="Y50" s="500" t="s">
        <v>278</v>
      </c>
      <c r="Z50" s="500"/>
      <c r="AA50" s="500"/>
      <c r="AB50" s="500"/>
      <c r="AC50" s="500"/>
      <c r="AD50" s="500"/>
      <c r="AE50" s="500"/>
      <c r="AF50" s="500"/>
      <c r="AG50" s="500"/>
      <c r="AH50" s="500"/>
      <c r="AI50" s="500"/>
      <c r="AJ50" s="500"/>
      <c r="AK50" s="500" t="s">
        <v>278</v>
      </c>
      <c r="AL50" s="500"/>
      <c r="AM50" s="500"/>
      <c r="AN50" s="500"/>
      <c r="AO50" s="500"/>
      <c r="AP50" s="500"/>
      <c r="AQ50" s="500"/>
      <c r="AR50" s="500"/>
      <c r="AS50" s="500"/>
      <c r="AT50" s="500" t="s">
        <v>278</v>
      </c>
      <c r="AU50" s="500"/>
      <c r="AV50" s="500"/>
      <c r="AW50" s="500"/>
      <c r="AX50" s="500"/>
      <c r="AY50" s="500"/>
      <c r="AZ50" s="500"/>
      <c r="BA50" s="500"/>
      <c r="BB50" s="500"/>
      <c r="BC50" s="500"/>
      <c r="BD50" s="500"/>
      <c r="BE50" s="500"/>
      <c r="BF50" s="500" t="s">
        <v>278</v>
      </c>
      <c r="BG50" s="500"/>
      <c r="BH50" s="500"/>
      <c r="BI50" s="500"/>
      <c r="BJ50" s="500"/>
      <c r="BK50" s="500"/>
      <c r="BL50" s="500"/>
      <c r="BM50" s="500"/>
      <c r="BN50" s="500"/>
      <c r="BO50" s="500" t="s">
        <v>278</v>
      </c>
      <c r="BP50" s="500"/>
      <c r="BQ50" s="500"/>
      <c r="BR50" s="500"/>
      <c r="BS50" s="500"/>
      <c r="BT50" s="500"/>
      <c r="BU50" s="500"/>
      <c r="BV50" s="500"/>
      <c r="BW50" s="500"/>
      <c r="BX50" s="500"/>
      <c r="BY50" s="500"/>
      <c r="BZ50" s="500"/>
      <c r="CA50" s="500" t="s">
        <v>278</v>
      </c>
      <c r="CB50" s="500"/>
      <c r="CC50" s="500"/>
      <c r="CD50" s="500"/>
      <c r="CE50" s="500"/>
      <c r="CF50" s="500"/>
      <c r="CG50" s="500"/>
      <c r="CH50" s="500"/>
      <c r="CI50" s="500"/>
      <c r="CJ50" s="500" t="s">
        <v>278</v>
      </c>
      <c r="CK50" s="500"/>
      <c r="CL50" s="500"/>
      <c r="CM50" s="500"/>
      <c r="CN50" s="500"/>
      <c r="CO50" s="500"/>
      <c r="CP50" s="500"/>
      <c r="CQ50" s="500"/>
      <c r="CR50" s="500"/>
      <c r="CS50" s="500"/>
      <c r="CT50" s="500"/>
      <c r="CU50" s="500"/>
      <c r="CV50" s="500" t="s">
        <v>278</v>
      </c>
      <c r="CW50" s="500"/>
      <c r="CX50" s="500"/>
      <c r="CY50" s="500"/>
      <c r="CZ50" s="500"/>
      <c r="DA50" s="500"/>
      <c r="DB50" s="500"/>
      <c r="DC50" s="500"/>
      <c r="DD50" s="500"/>
    </row>
    <row r="51" spans="1:108" ht="15.75" x14ac:dyDescent="0.25">
      <c r="A51" s="435"/>
      <c r="B51" s="435"/>
      <c r="C51" s="435"/>
      <c r="D51" s="501" t="s">
        <v>248</v>
      </c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 t="s">
        <v>248</v>
      </c>
      <c r="Q51" s="501"/>
      <c r="R51" s="501"/>
      <c r="S51" s="501"/>
      <c r="T51" s="501"/>
      <c r="U51" s="501"/>
      <c r="V51" s="501"/>
      <c r="W51" s="501"/>
      <c r="X51" s="501"/>
      <c r="Y51" s="501" t="s">
        <v>248</v>
      </c>
      <c r="Z51" s="501"/>
      <c r="AA51" s="501"/>
      <c r="AB51" s="501"/>
      <c r="AC51" s="501"/>
      <c r="AD51" s="501"/>
      <c r="AE51" s="501"/>
      <c r="AF51" s="501"/>
      <c r="AG51" s="501"/>
      <c r="AH51" s="501"/>
      <c r="AI51" s="501"/>
      <c r="AJ51" s="501"/>
      <c r="AK51" s="501" t="s">
        <v>248</v>
      </c>
      <c r="AL51" s="501"/>
      <c r="AM51" s="501"/>
      <c r="AN51" s="501"/>
      <c r="AO51" s="501"/>
      <c r="AP51" s="501"/>
      <c r="AQ51" s="501"/>
      <c r="AR51" s="501"/>
      <c r="AS51" s="501"/>
      <c r="AT51" s="501" t="s">
        <v>248</v>
      </c>
      <c r="AU51" s="501"/>
      <c r="AV51" s="501"/>
      <c r="AW51" s="501"/>
      <c r="AX51" s="501"/>
      <c r="AY51" s="501"/>
      <c r="AZ51" s="501"/>
      <c r="BA51" s="501"/>
      <c r="BB51" s="501"/>
      <c r="BC51" s="501"/>
      <c r="BD51" s="501"/>
      <c r="BE51" s="501"/>
      <c r="BF51" s="501" t="s">
        <v>248</v>
      </c>
      <c r="BG51" s="501"/>
      <c r="BH51" s="501"/>
      <c r="BI51" s="501"/>
      <c r="BJ51" s="501"/>
      <c r="BK51" s="501"/>
      <c r="BL51" s="501"/>
      <c r="BM51" s="501"/>
      <c r="BN51" s="501"/>
      <c r="BO51" s="501" t="s">
        <v>248</v>
      </c>
      <c r="BP51" s="501"/>
      <c r="BQ51" s="501"/>
      <c r="BR51" s="501"/>
      <c r="BS51" s="501"/>
      <c r="BT51" s="501"/>
      <c r="BU51" s="501"/>
      <c r="BV51" s="501"/>
      <c r="BW51" s="501"/>
      <c r="BX51" s="501"/>
      <c r="BY51" s="501"/>
      <c r="BZ51" s="501"/>
      <c r="CA51" s="501" t="s">
        <v>248</v>
      </c>
      <c r="CB51" s="501"/>
      <c r="CC51" s="501"/>
      <c r="CD51" s="501"/>
      <c r="CE51" s="501"/>
      <c r="CF51" s="501"/>
      <c r="CG51" s="501"/>
      <c r="CH51" s="501"/>
      <c r="CI51" s="501"/>
      <c r="CJ51" s="501" t="s">
        <v>248</v>
      </c>
      <c r="CK51" s="501"/>
      <c r="CL51" s="501"/>
      <c r="CM51" s="501"/>
      <c r="CN51" s="501"/>
      <c r="CO51" s="501"/>
      <c r="CP51" s="501"/>
      <c r="CQ51" s="501"/>
      <c r="CR51" s="501"/>
      <c r="CS51" s="501"/>
      <c r="CT51" s="501"/>
      <c r="CU51" s="501"/>
      <c r="CV51" s="501" t="s">
        <v>248</v>
      </c>
      <c r="CW51" s="501"/>
      <c r="CX51" s="501"/>
      <c r="CY51" s="501"/>
      <c r="CZ51" s="501"/>
      <c r="DA51" s="501"/>
      <c r="DB51" s="501"/>
      <c r="DC51" s="501"/>
      <c r="DD51" s="501"/>
    </row>
    <row r="52" spans="1:108" ht="15.75" x14ac:dyDescent="0.25">
      <c r="A52" s="435"/>
      <c r="B52" s="435"/>
      <c r="C52" s="435"/>
      <c r="D52" s="501" t="s">
        <v>228</v>
      </c>
      <c r="E52" s="501"/>
      <c r="F52" s="501"/>
      <c r="G52" s="501"/>
      <c r="H52" s="501"/>
      <c r="I52" s="501"/>
      <c r="J52" s="501"/>
      <c r="K52" s="501"/>
      <c r="L52" s="501"/>
      <c r="M52" s="501"/>
      <c r="N52" s="501"/>
      <c r="O52" s="501"/>
      <c r="P52" s="501" t="s">
        <v>228</v>
      </c>
      <c r="Q52" s="501"/>
      <c r="R52" s="501"/>
      <c r="S52" s="501"/>
      <c r="T52" s="501"/>
      <c r="U52" s="501"/>
      <c r="V52" s="501"/>
      <c r="W52" s="501"/>
      <c r="X52" s="501"/>
      <c r="Y52" s="501" t="s">
        <v>228</v>
      </c>
      <c r="Z52" s="501"/>
      <c r="AA52" s="501"/>
      <c r="AB52" s="501"/>
      <c r="AC52" s="501"/>
      <c r="AD52" s="501"/>
      <c r="AE52" s="501"/>
      <c r="AF52" s="501"/>
      <c r="AG52" s="501"/>
      <c r="AH52" s="501"/>
      <c r="AI52" s="501"/>
      <c r="AJ52" s="501"/>
      <c r="AK52" s="501" t="s">
        <v>228</v>
      </c>
      <c r="AL52" s="501"/>
      <c r="AM52" s="501"/>
      <c r="AN52" s="501"/>
      <c r="AO52" s="501"/>
      <c r="AP52" s="501"/>
      <c r="AQ52" s="501"/>
      <c r="AR52" s="501"/>
      <c r="AS52" s="501"/>
      <c r="AT52" s="501" t="s">
        <v>228</v>
      </c>
      <c r="AU52" s="501"/>
      <c r="AV52" s="501"/>
      <c r="AW52" s="501"/>
      <c r="AX52" s="501"/>
      <c r="AY52" s="501"/>
      <c r="AZ52" s="501"/>
      <c r="BA52" s="501"/>
      <c r="BB52" s="501"/>
      <c r="BC52" s="501"/>
      <c r="BD52" s="501"/>
      <c r="BE52" s="501"/>
      <c r="BF52" s="501" t="s">
        <v>228</v>
      </c>
      <c r="BG52" s="501"/>
      <c r="BH52" s="501"/>
      <c r="BI52" s="501"/>
      <c r="BJ52" s="501"/>
      <c r="BK52" s="501"/>
      <c r="BL52" s="501"/>
      <c r="BM52" s="501"/>
      <c r="BN52" s="501"/>
      <c r="BO52" s="501" t="s">
        <v>228</v>
      </c>
      <c r="BP52" s="501"/>
      <c r="BQ52" s="501"/>
      <c r="BR52" s="501"/>
      <c r="BS52" s="501"/>
      <c r="BT52" s="501"/>
      <c r="BU52" s="501"/>
      <c r="BV52" s="501"/>
      <c r="BW52" s="501"/>
      <c r="BX52" s="501"/>
      <c r="BY52" s="501"/>
      <c r="BZ52" s="501"/>
      <c r="CA52" s="501" t="s">
        <v>228</v>
      </c>
      <c r="CB52" s="501"/>
      <c r="CC52" s="501"/>
      <c r="CD52" s="501"/>
      <c r="CE52" s="501"/>
      <c r="CF52" s="501"/>
      <c r="CG52" s="501"/>
      <c r="CH52" s="501"/>
      <c r="CI52" s="501"/>
      <c r="CJ52" s="501" t="s">
        <v>228</v>
      </c>
      <c r="CK52" s="501"/>
      <c r="CL52" s="501"/>
      <c r="CM52" s="501"/>
      <c r="CN52" s="501"/>
      <c r="CO52" s="501"/>
      <c r="CP52" s="501"/>
      <c r="CQ52" s="501"/>
      <c r="CR52" s="501"/>
      <c r="CS52" s="501"/>
      <c r="CT52" s="501"/>
      <c r="CU52" s="501"/>
      <c r="CV52" s="501" t="s">
        <v>228</v>
      </c>
      <c r="CW52" s="501"/>
      <c r="CX52" s="501"/>
      <c r="CY52" s="501"/>
      <c r="CZ52" s="501"/>
      <c r="DA52" s="501"/>
      <c r="DB52" s="501"/>
      <c r="DC52" s="501"/>
      <c r="DD52" s="501"/>
    </row>
    <row r="53" spans="1:108" x14ac:dyDescent="0.25">
      <c r="M53" s="144"/>
      <c r="N53" s="144"/>
      <c r="O53" s="144"/>
      <c r="P53" s="144"/>
      <c r="Q53" s="144"/>
      <c r="R53" s="144"/>
      <c r="V53" s="144"/>
      <c r="W53" s="144"/>
      <c r="X53" s="144"/>
      <c r="AH53" s="144"/>
      <c r="AI53" s="144"/>
      <c r="AJ53" s="144"/>
      <c r="AK53" s="144"/>
      <c r="AL53" s="144"/>
      <c r="AM53" s="144"/>
      <c r="AQ53" s="144"/>
      <c r="AR53" s="144"/>
      <c r="AS53" s="144"/>
      <c r="BC53" s="144"/>
      <c r="BD53" s="144"/>
      <c r="BE53" s="144"/>
      <c r="BF53" s="144"/>
      <c r="BG53" s="144"/>
      <c r="BH53" s="144"/>
      <c r="BL53" s="144"/>
      <c r="BM53" s="144"/>
      <c r="BN53" s="144"/>
      <c r="BX53" s="144"/>
      <c r="BY53" s="144"/>
      <c r="BZ53" s="144"/>
      <c r="CA53" s="144"/>
      <c r="CB53" s="144"/>
      <c r="CC53" s="144"/>
      <c r="CG53" s="144"/>
      <c r="CH53" s="144"/>
      <c r="CI53" s="144"/>
      <c r="CS53" s="144"/>
      <c r="CT53" s="144"/>
      <c r="CU53" s="144"/>
      <c r="CV53" s="144"/>
      <c r="CW53" s="144"/>
      <c r="CX53" s="144"/>
      <c r="DB53" s="144"/>
      <c r="DC53" s="144"/>
      <c r="DD53" s="144"/>
    </row>
    <row r="54" spans="1:108" x14ac:dyDescent="0.25">
      <c r="M54" s="144"/>
      <c r="N54" s="144"/>
      <c r="O54" s="144"/>
      <c r="P54" s="144"/>
      <c r="Q54" s="144"/>
      <c r="R54" s="144"/>
      <c r="V54" s="144"/>
      <c r="W54" s="144"/>
      <c r="X54" s="144"/>
      <c r="AH54" s="144"/>
      <c r="AI54" s="144"/>
      <c r="AJ54" s="144"/>
      <c r="AK54" s="144"/>
      <c r="AL54" s="144"/>
      <c r="AM54" s="144"/>
      <c r="AQ54" s="144"/>
      <c r="AR54" s="144"/>
      <c r="AS54" s="144"/>
      <c r="BC54" s="144"/>
      <c r="BD54" s="144"/>
      <c r="BE54" s="144"/>
      <c r="BF54" s="144"/>
      <c r="BG54" s="144"/>
      <c r="BH54" s="144"/>
      <c r="BL54" s="144"/>
      <c r="BM54" s="144"/>
      <c r="BN54" s="144"/>
      <c r="BX54" s="144"/>
      <c r="BY54" s="144"/>
      <c r="BZ54" s="144"/>
      <c r="CA54" s="144"/>
      <c r="CB54" s="144"/>
      <c r="CC54" s="144"/>
      <c r="CG54" s="144"/>
      <c r="CH54" s="144"/>
      <c r="CI54" s="144"/>
      <c r="CS54" s="144"/>
      <c r="CT54" s="144"/>
      <c r="CU54" s="144"/>
      <c r="CV54" s="144"/>
      <c r="CW54" s="144"/>
      <c r="CX54" s="144"/>
      <c r="DB54" s="144"/>
      <c r="DC54" s="144"/>
      <c r="DD54" s="144"/>
    </row>
    <row r="55" spans="1:108" x14ac:dyDescent="0.25">
      <c r="M55" s="144"/>
      <c r="N55" s="144"/>
      <c r="O55" s="144"/>
      <c r="P55" s="144"/>
      <c r="Q55" s="144"/>
      <c r="R55" s="144"/>
      <c r="V55" s="144"/>
      <c r="W55" s="144"/>
      <c r="X55" s="144"/>
      <c r="AH55" s="144"/>
      <c r="AI55" s="144"/>
      <c r="AJ55" s="144"/>
      <c r="AK55" s="144"/>
      <c r="AL55" s="144"/>
      <c r="AM55" s="144"/>
      <c r="AQ55" s="144"/>
      <c r="AR55" s="144"/>
      <c r="AS55" s="144"/>
      <c r="BC55" s="144"/>
      <c r="BD55" s="144"/>
      <c r="BE55" s="144"/>
      <c r="BF55" s="144"/>
      <c r="BG55" s="144"/>
      <c r="BH55" s="144"/>
      <c r="BL55" s="144"/>
      <c r="BM55" s="144"/>
      <c r="BN55" s="144"/>
      <c r="BX55" s="144"/>
      <c r="BY55" s="144"/>
      <c r="BZ55" s="144"/>
      <c r="CA55" s="144"/>
      <c r="CB55" s="144"/>
      <c r="CC55" s="144"/>
      <c r="CG55" s="144"/>
      <c r="CH55" s="144"/>
      <c r="CI55" s="144"/>
      <c r="CS55" s="144"/>
      <c r="CT55" s="144"/>
      <c r="CU55" s="144"/>
      <c r="CV55" s="144"/>
      <c r="CW55" s="144"/>
      <c r="CX55" s="144"/>
      <c r="DB55" s="144"/>
      <c r="DC55" s="144"/>
      <c r="DD55" s="144"/>
    </row>
    <row r="56" spans="1:108" x14ac:dyDescent="0.25">
      <c r="M56" s="144"/>
      <c r="N56" s="144"/>
      <c r="O56" s="144"/>
      <c r="P56" s="144"/>
      <c r="Q56" s="144"/>
      <c r="R56" s="144"/>
      <c r="V56" s="144"/>
      <c r="W56" s="144"/>
      <c r="X56" s="144"/>
      <c r="AH56" s="144"/>
      <c r="AI56" s="144"/>
      <c r="AJ56" s="144"/>
      <c r="AK56" s="144"/>
      <c r="AL56" s="144"/>
      <c r="AM56" s="144"/>
      <c r="AQ56" s="144"/>
      <c r="AR56" s="144"/>
      <c r="AS56" s="144"/>
      <c r="BC56" s="144"/>
      <c r="BD56" s="144"/>
      <c r="BE56" s="144"/>
      <c r="BF56" s="144"/>
      <c r="BG56" s="144"/>
      <c r="BH56" s="144"/>
      <c r="BL56" s="144"/>
      <c r="BM56" s="144"/>
      <c r="BN56" s="144"/>
      <c r="BX56" s="144"/>
      <c r="BY56" s="144"/>
      <c r="BZ56" s="144"/>
      <c r="CA56" s="144"/>
      <c r="CB56" s="144"/>
      <c r="CC56" s="144"/>
      <c r="CG56" s="144"/>
      <c r="CH56" s="144"/>
      <c r="CI56" s="144"/>
      <c r="CS56" s="144"/>
      <c r="CT56" s="144"/>
      <c r="CU56" s="144"/>
      <c r="CV56" s="144"/>
      <c r="CW56" s="144"/>
      <c r="CX56" s="144"/>
      <c r="DB56" s="144"/>
      <c r="DC56" s="144"/>
      <c r="DD56" s="144"/>
    </row>
    <row r="57" spans="1:108" x14ac:dyDescent="0.25">
      <c r="M57" s="144"/>
      <c r="N57" s="144"/>
      <c r="O57" s="144"/>
      <c r="P57" s="144"/>
      <c r="Q57" s="144"/>
      <c r="R57" s="144"/>
      <c r="V57" s="144"/>
      <c r="W57" s="144"/>
      <c r="X57" s="144"/>
      <c r="AH57" s="144"/>
      <c r="AI57" s="144"/>
      <c r="AJ57" s="144"/>
      <c r="AK57" s="144"/>
      <c r="AL57" s="144"/>
      <c r="AM57" s="144"/>
      <c r="AQ57" s="144"/>
      <c r="AR57" s="144"/>
      <c r="AS57" s="144"/>
      <c r="BC57" s="144"/>
      <c r="BD57" s="144"/>
      <c r="BE57" s="144"/>
      <c r="BF57" s="144"/>
      <c r="BG57" s="144"/>
      <c r="BH57" s="144"/>
      <c r="BL57" s="144"/>
      <c r="BM57" s="144"/>
      <c r="BN57" s="144"/>
      <c r="BX57" s="144"/>
      <c r="BY57" s="144"/>
      <c r="BZ57" s="144"/>
      <c r="CA57" s="144"/>
      <c r="CB57" s="144"/>
      <c r="CC57" s="144"/>
      <c r="CG57" s="144"/>
      <c r="CH57" s="144"/>
      <c r="CI57" s="144"/>
      <c r="CS57" s="144"/>
      <c r="CT57" s="144"/>
      <c r="CU57" s="144"/>
      <c r="CV57" s="144"/>
      <c r="CW57" s="144"/>
      <c r="CX57" s="144"/>
      <c r="DB57" s="144"/>
      <c r="DC57" s="144"/>
      <c r="DD57" s="144"/>
    </row>
    <row r="58" spans="1:108" x14ac:dyDescent="0.25">
      <c r="M58" s="144"/>
      <c r="N58" s="144"/>
      <c r="O58" s="144"/>
      <c r="P58" s="144"/>
      <c r="Q58" s="144"/>
      <c r="R58" s="144"/>
      <c r="V58" s="144"/>
      <c r="W58" s="144"/>
      <c r="X58" s="144"/>
      <c r="AH58" s="144"/>
      <c r="AI58" s="144"/>
      <c r="AJ58" s="144"/>
      <c r="AK58" s="144"/>
      <c r="AL58" s="144"/>
      <c r="AM58" s="144"/>
      <c r="AQ58" s="144"/>
      <c r="AR58" s="144"/>
      <c r="AS58" s="144"/>
      <c r="BC58" s="144"/>
      <c r="BD58" s="144"/>
      <c r="BE58" s="144"/>
      <c r="BF58" s="144"/>
      <c r="BG58" s="144"/>
      <c r="BH58" s="144"/>
      <c r="BL58" s="144"/>
      <c r="BM58" s="144"/>
      <c r="BN58" s="144"/>
      <c r="BX58" s="144"/>
      <c r="BY58" s="144"/>
      <c r="BZ58" s="144"/>
      <c r="CA58" s="144"/>
      <c r="CB58" s="144"/>
      <c r="CC58" s="144"/>
      <c r="CG58" s="144"/>
      <c r="CH58" s="144"/>
      <c r="CI58" s="144"/>
      <c r="CS58" s="144"/>
      <c r="CT58" s="144"/>
      <c r="CU58" s="144"/>
      <c r="CV58" s="144"/>
      <c r="CW58" s="144"/>
      <c r="CX58" s="144"/>
      <c r="DB58" s="144"/>
      <c r="DC58" s="144"/>
      <c r="DD58" s="144"/>
    </row>
    <row r="59" spans="1:108" x14ac:dyDescent="0.25">
      <c r="M59" s="144"/>
      <c r="N59" s="144"/>
      <c r="O59" s="144"/>
      <c r="P59" s="144"/>
      <c r="Q59" s="144"/>
      <c r="R59" s="144"/>
      <c r="V59" s="144"/>
      <c r="W59" s="144"/>
      <c r="X59" s="144"/>
      <c r="AH59" s="144"/>
      <c r="AI59" s="144"/>
      <c r="AJ59" s="144"/>
      <c r="AK59" s="144"/>
      <c r="AL59" s="144"/>
      <c r="AM59" s="144"/>
      <c r="AQ59" s="144"/>
      <c r="AR59" s="144"/>
      <c r="AS59" s="144"/>
      <c r="BC59" s="144"/>
      <c r="BD59" s="144"/>
      <c r="BE59" s="144"/>
      <c r="BF59" s="144"/>
      <c r="BG59" s="144"/>
      <c r="BH59" s="144"/>
      <c r="BL59" s="144"/>
      <c r="BM59" s="144"/>
      <c r="BN59" s="144"/>
      <c r="BX59" s="144"/>
      <c r="BY59" s="144"/>
      <c r="BZ59" s="144"/>
      <c r="CA59" s="144"/>
      <c r="CB59" s="144"/>
      <c r="CC59" s="144"/>
      <c r="CG59" s="144"/>
      <c r="CH59" s="144"/>
      <c r="CI59" s="144"/>
      <c r="CS59" s="144"/>
      <c r="CT59" s="144"/>
      <c r="CU59" s="144"/>
      <c r="CV59" s="144"/>
      <c r="CW59" s="144"/>
      <c r="CX59" s="144"/>
      <c r="DB59" s="144"/>
      <c r="DC59" s="144"/>
      <c r="DD59" s="144"/>
    </row>
    <row r="60" spans="1:108" x14ac:dyDescent="0.25">
      <c r="M60" s="144"/>
      <c r="N60" s="144"/>
      <c r="O60" s="144"/>
      <c r="P60" s="144"/>
      <c r="Q60" s="144"/>
      <c r="R60" s="144"/>
      <c r="V60" s="144"/>
      <c r="W60" s="144"/>
      <c r="X60" s="144"/>
      <c r="AH60" s="144"/>
      <c r="AI60" s="144"/>
      <c r="AJ60" s="144"/>
      <c r="AK60" s="144"/>
      <c r="AL60" s="144"/>
      <c r="AM60" s="144"/>
      <c r="AQ60" s="144"/>
      <c r="AR60" s="144"/>
      <c r="AS60" s="144"/>
      <c r="BC60" s="144"/>
      <c r="BD60" s="144"/>
      <c r="BE60" s="144"/>
      <c r="BF60" s="144"/>
      <c r="BG60" s="144"/>
      <c r="BH60" s="144"/>
      <c r="BL60" s="144"/>
      <c r="BM60" s="144"/>
      <c r="BN60" s="144"/>
      <c r="BX60" s="144"/>
      <c r="BY60" s="144"/>
      <c r="BZ60" s="144"/>
      <c r="CA60" s="144"/>
      <c r="CB60" s="144"/>
      <c r="CC60" s="144"/>
      <c r="CG60" s="144"/>
      <c r="CH60" s="144"/>
      <c r="CI60" s="144"/>
      <c r="CS60" s="144"/>
      <c r="CT60" s="144"/>
      <c r="CU60" s="144"/>
      <c r="CV60" s="144"/>
      <c r="CW60" s="144"/>
      <c r="CX60" s="144"/>
      <c r="DB60" s="144"/>
      <c r="DC60" s="144"/>
      <c r="DD60" s="144"/>
    </row>
    <row r="61" spans="1:108" x14ac:dyDescent="0.25">
      <c r="M61" s="144"/>
      <c r="N61" s="144"/>
      <c r="O61" s="144"/>
      <c r="P61" s="144"/>
      <c r="Q61" s="144"/>
      <c r="R61" s="144"/>
      <c r="V61" s="144"/>
      <c r="W61" s="144"/>
      <c r="X61" s="144"/>
      <c r="AH61" s="144"/>
      <c r="AI61" s="144"/>
      <c r="AJ61" s="144"/>
      <c r="AK61" s="144"/>
      <c r="AL61" s="144"/>
      <c r="AM61" s="144"/>
      <c r="AQ61" s="144"/>
      <c r="AR61" s="144"/>
      <c r="AS61" s="144"/>
      <c r="BC61" s="144"/>
      <c r="BD61" s="144"/>
      <c r="BE61" s="144"/>
      <c r="BF61" s="144"/>
      <c r="BG61" s="144"/>
      <c r="BH61" s="144"/>
      <c r="BL61" s="144"/>
      <c r="BM61" s="144"/>
      <c r="BN61" s="144"/>
      <c r="BX61" s="144"/>
      <c r="BY61" s="144"/>
      <c r="BZ61" s="144"/>
      <c r="CA61" s="144"/>
      <c r="CB61" s="144"/>
      <c r="CC61" s="144"/>
      <c r="CG61" s="144"/>
      <c r="CH61" s="144"/>
      <c r="CI61" s="144"/>
      <c r="CS61" s="144"/>
      <c r="CT61" s="144"/>
      <c r="CU61" s="144"/>
      <c r="CV61" s="144"/>
      <c r="CW61" s="144"/>
      <c r="CX61" s="144"/>
      <c r="DB61" s="144"/>
      <c r="DC61" s="144"/>
      <c r="DD61" s="144"/>
    </row>
    <row r="62" spans="1:108" x14ac:dyDescent="0.25">
      <c r="M62" s="144"/>
      <c r="N62" s="144"/>
      <c r="O62" s="144"/>
      <c r="P62" s="144"/>
      <c r="Q62" s="144"/>
      <c r="R62" s="144"/>
      <c r="V62" s="144"/>
      <c r="W62" s="144"/>
      <c r="X62" s="144"/>
      <c r="AH62" s="144"/>
      <c r="AI62" s="144"/>
      <c r="AJ62" s="144"/>
      <c r="AK62" s="144"/>
      <c r="AL62" s="144"/>
      <c r="AM62" s="144"/>
      <c r="AQ62" s="144"/>
      <c r="AR62" s="144"/>
      <c r="AS62" s="144"/>
      <c r="BC62" s="144"/>
      <c r="BD62" s="144"/>
      <c r="BE62" s="144"/>
      <c r="BF62" s="144"/>
      <c r="BG62" s="144"/>
      <c r="BH62" s="144"/>
      <c r="BL62" s="144"/>
      <c r="BM62" s="144"/>
      <c r="BN62" s="144"/>
      <c r="BX62" s="144"/>
      <c r="BY62" s="144"/>
      <c r="BZ62" s="144"/>
      <c r="CA62" s="144"/>
      <c r="CB62" s="144"/>
      <c r="CC62" s="144"/>
      <c r="CG62" s="144"/>
      <c r="CH62" s="144"/>
      <c r="CI62" s="144"/>
      <c r="CS62" s="144"/>
      <c r="CT62" s="144"/>
      <c r="CU62" s="144"/>
      <c r="CV62" s="144"/>
      <c r="CW62" s="144"/>
      <c r="CX62" s="144"/>
      <c r="DB62" s="144"/>
      <c r="DC62" s="144"/>
      <c r="DD62" s="144"/>
    </row>
    <row r="63" spans="1:108" x14ac:dyDescent="0.25">
      <c r="M63" s="144"/>
      <c r="N63" s="144"/>
      <c r="O63" s="144"/>
      <c r="P63" s="144"/>
      <c r="Q63" s="144"/>
      <c r="R63" s="144"/>
      <c r="V63" s="144"/>
      <c r="W63" s="144"/>
      <c r="X63" s="144"/>
      <c r="AH63" s="144"/>
      <c r="AI63" s="144"/>
      <c r="AJ63" s="144"/>
      <c r="AK63" s="144"/>
      <c r="AL63" s="144"/>
      <c r="AM63" s="144"/>
      <c r="AQ63" s="144"/>
      <c r="AR63" s="144"/>
      <c r="AS63" s="144"/>
      <c r="BC63" s="144"/>
      <c r="BD63" s="144"/>
      <c r="BE63" s="144"/>
      <c r="BF63" s="144"/>
      <c r="BG63" s="144"/>
      <c r="BH63" s="144"/>
      <c r="BL63" s="144"/>
      <c r="BM63" s="144"/>
      <c r="BN63" s="144"/>
      <c r="BX63" s="144"/>
      <c r="BY63" s="144"/>
      <c r="BZ63" s="144"/>
      <c r="CA63" s="144"/>
      <c r="CB63" s="144"/>
      <c r="CC63" s="144"/>
      <c r="CG63" s="144"/>
      <c r="CH63" s="144"/>
      <c r="CI63" s="144"/>
      <c r="CS63" s="144"/>
      <c r="CT63" s="144"/>
      <c r="CU63" s="144"/>
      <c r="CV63" s="144"/>
      <c r="CW63" s="144"/>
      <c r="CX63" s="144"/>
      <c r="DB63" s="144"/>
      <c r="DC63" s="144"/>
      <c r="DD63" s="144"/>
    </row>
    <row r="64" spans="1:108" x14ac:dyDescent="0.25">
      <c r="M64" s="144"/>
      <c r="N64" s="144"/>
      <c r="O64" s="144"/>
      <c r="P64" s="144"/>
      <c r="Q64" s="144"/>
      <c r="R64" s="144"/>
      <c r="V64" s="144"/>
      <c r="W64" s="144"/>
      <c r="X64" s="144"/>
      <c r="AH64" s="144"/>
      <c r="AI64" s="144"/>
      <c r="AJ64" s="144"/>
      <c r="AK64" s="144"/>
      <c r="AL64" s="144"/>
      <c r="AM64" s="144"/>
      <c r="AQ64" s="144"/>
      <c r="AR64" s="144"/>
      <c r="AS64" s="144"/>
      <c r="BC64" s="144"/>
      <c r="BD64" s="144"/>
      <c r="BE64" s="144"/>
      <c r="BF64" s="144"/>
      <c r="BG64" s="144"/>
      <c r="BH64" s="144"/>
      <c r="BL64" s="144"/>
      <c r="BM64" s="144"/>
      <c r="BN64" s="144"/>
      <c r="BX64" s="144"/>
      <c r="BY64" s="144"/>
      <c r="BZ64" s="144"/>
      <c r="CA64" s="144"/>
      <c r="CB64" s="144"/>
      <c r="CC64" s="144"/>
      <c r="CG64" s="144"/>
      <c r="CH64" s="144"/>
      <c r="CI64" s="144"/>
      <c r="CS64" s="144"/>
      <c r="CT64" s="144"/>
      <c r="CU64" s="144"/>
      <c r="CV64" s="144"/>
      <c r="CW64" s="144"/>
      <c r="CX64" s="144"/>
      <c r="DB64" s="144"/>
      <c r="DC64" s="144"/>
      <c r="DD64" s="144"/>
    </row>
    <row r="65" spans="13:108" x14ac:dyDescent="0.25">
      <c r="M65" s="144"/>
      <c r="N65" s="144"/>
      <c r="O65" s="144"/>
      <c r="P65" s="144"/>
      <c r="Q65" s="144"/>
      <c r="R65" s="144"/>
      <c r="V65" s="144"/>
      <c r="W65" s="144"/>
      <c r="X65" s="144"/>
      <c r="AH65" s="144"/>
      <c r="AI65" s="144"/>
      <c r="AJ65" s="144"/>
      <c r="AK65" s="144"/>
      <c r="AL65" s="144"/>
      <c r="AM65" s="144"/>
      <c r="AQ65" s="144"/>
      <c r="AR65" s="144"/>
      <c r="AS65" s="144"/>
      <c r="BC65" s="144"/>
      <c r="BD65" s="144"/>
      <c r="BE65" s="144"/>
      <c r="BF65" s="144"/>
      <c r="BG65" s="144"/>
      <c r="BH65" s="144"/>
      <c r="BL65" s="144"/>
      <c r="BM65" s="144"/>
      <c r="BN65" s="144"/>
      <c r="BX65" s="144"/>
      <c r="BY65" s="144"/>
      <c r="BZ65" s="144"/>
      <c r="CA65" s="144"/>
      <c r="CB65" s="144"/>
      <c r="CC65" s="144"/>
      <c r="CG65" s="144"/>
      <c r="CH65" s="144"/>
      <c r="CI65" s="144"/>
      <c r="CS65" s="144"/>
      <c r="CT65" s="144"/>
      <c r="CU65" s="144"/>
      <c r="CV65" s="144"/>
      <c r="CW65" s="144"/>
      <c r="CX65" s="144"/>
      <c r="DB65" s="144"/>
      <c r="DC65" s="144"/>
      <c r="DD65" s="144"/>
    </row>
    <row r="66" spans="13:108" x14ac:dyDescent="0.25">
      <c r="M66" s="144"/>
      <c r="N66" s="144"/>
      <c r="O66" s="144"/>
      <c r="P66" s="144"/>
      <c r="Q66" s="144"/>
      <c r="R66" s="144"/>
      <c r="V66" s="144"/>
      <c r="W66" s="144"/>
      <c r="X66" s="144"/>
      <c r="AH66" s="144"/>
      <c r="AI66" s="144"/>
      <c r="AJ66" s="144"/>
      <c r="AK66" s="144"/>
      <c r="AL66" s="144"/>
      <c r="AM66" s="144"/>
      <c r="AQ66" s="144"/>
      <c r="AR66" s="144"/>
      <c r="AS66" s="144"/>
      <c r="BC66" s="144"/>
      <c r="BD66" s="144"/>
      <c r="BE66" s="144"/>
      <c r="BF66" s="144"/>
      <c r="BG66" s="144"/>
      <c r="BH66" s="144"/>
      <c r="BL66" s="144"/>
      <c r="BM66" s="144"/>
      <c r="BN66" s="144"/>
      <c r="BX66" s="144"/>
      <c r="BY66" s="144"/>
      <c r="BZ66" s="144"/>
      <c r="CA66" s="144"/>
      <c r="CB66" s="144"/>
      <c r="CC66" s="144"/>
      <c r="CG66" s="144"/>
      <c r="CH66" s="144"/>
      <c r="CI66" s="144"/>
      <c r="CS66" s="144"/>
      <c r="CT66" s="144"/>
      <c r="CU66" s="144"/>
      <c r="CV66" s="144"/>
      <c r="CW66" s="144"/>
      <c r="CX66" s="144"/>
      <c r="DB66" s="144"/>
      <c r="DC66" s="144"/>
      <c r="DD66" s="144"/>
    </row>
    <row r="67" spans="13:108" x14ac:dyDescent="0.25">
      <c r="M67" s="144"/>
      <c r="N67" s="144"/>
      <c r="O67" s="144"/>
      <c r="P67" s="144"/>
      <c r="Q67" s="144"/>
      <c r="R67" s="144"/>
      <c r="V67" s="144"/>
      <c r="W67" s="144"/>
      <c r="X67" s="144"/>
      <c r="AH67" s="144"/>
      <c r="AI67" s="144"/>
      <c r="AJ67" s="144"/>
      <c r="AK67" s="144"/>
      <c r="AL67" s="144"/>
      <c r="AM67" s="144"/>
      <c r="AQ67" s="144"/>
      <c r="AR67" s="144"/>
      <c r="AS67" s="144"/>
      <c r="BC67" s="144"/>
      <c r="BD67" s="144"/>
      <c r="BE67" s="144"/>
      <c r="BF67" s="144"/>
      <c r="BG67" s="144"/>
      <c r="BH67" s="144"/>
      <c r="BL67" s="144"/>
      <c r="BM67" s="144"/>
      <c r="BN67" s="144"/>
      <c r="BX67" s="144"/>
      <c r="BY67" s="144"/>
      <c r="BZ67" s="144"/>
      <c r="CA67" s="144"/>
      <c r="CB67" s="144"/>
      <c r="CC67" s="144"/>
      <c r="CG67" s="144"/>
      <c r="CH67" s="144"/>
      <c r="CI67" s="144"/>
      <c r="CS67" s="144"/>
      <c r="CT67" s="144"/>
      <c r="CU67" s="144"/>
      <c r="CV67" s="144"/>
      <c r="CW67" s="144"/>
      <c r="CX67" s="144"/>
      <c r="DB67" s="144"/>
      <c r="DC67" s="144"/>
      <c r="DD67" s="144"/>
    </row>
    <row r="68" spans="13:108" x14ac:dyDescent="0.25">
      <c r="M68" s="144"/>
      <c r="N68" s="144"/>
      <c r="O68" s="144"/>
      <c r="P68" s="144"/>
      <c r="Q68" s="144"/>
      <c r="R68" s="144"/>
      <c r="V68" s="144"/>
      <c r="W68" s="144"/>
      <c r="X68" s="144"/>
      <c r="AH68" s="144"/>
      <c r="AI68" s="144"/>
      <c r="AJ68" s="144"/>
      <c r="AK68" s="144"/>
      <c r="AL68" s="144"/>
      <c r="AM68" s="144"/>
      <c r="AQ68" s="144"/>
      <c r="AR68" s="144"/>
      <c r="AS68" s="144"/>
      <c r="BC68" s="144"/>
      <c r="BD68" s="144"/>
      <c r="BE68" s="144"/>
      <c r="BF68" s="144"/>
      <c r="BG68" s="144"/>
      <c r="BH68" s="144"/>
      <c r="BL68" s="144"/>
      <c r="BM68" s="144"/>
      <c r="BN68" s="144"/>
      <c r="BX68" s="144"/>
      <c r="BY68" s="144"/>
      <c r="BZ68" s="144"/>
      <c r="CA68" s="144"/>
      <c r="CB68" s="144"/>
      <c r="CC68" s="144"/>
      <c r="CG68" s="144"/>
      <c r="CH68" s="144"/>
      <c r="CI68" s="144"/>
      <c r="CS68" s="144"/>
      <c r="CT68" s="144"/>
      <c r="CU68" s="144"/>
      <c r="CV68" s="144"/>
      <c r="CW68" s="144"/>
      <c r="CX68" s="144"/>
      <c r="DB68" s="144"/>
      <c r="DC68" s="144"/>
      <c r="DD68" s="144"/>
    </row>
    <row r="69" spans="13:108" x14ac:dyDescent="0.25">
      <c r="M69" s="144"/>
      <c r="N69" s="144"/>
      <c r="O69" s="144"/>
      <c r="P69" s="144"/>
      <c r="Q69" s="144"/>
      <c r="R69" s="144"/>
      <c r="V69" s="144"/>
      <c r="W69" s="144"/>
      <c r="X69" s="144"/>
      <c r="AH69" s="144"/>
      <c r="AI69" s="144"/>
      <c r="AJ69" s="144"/>
      <c r="AK69" s="144"/>
      <c r="AL69" s="144"/>
      <c r="AM69" s="144"/>
      <c r="AQ69" s="144"/>
      <c r="AR69" s="144"/>
      <c r="AS69" s="144"/>
      <c r="BC69" s="144"/>
      <c r="BD69" s="144"/>
      <c r="BE69" s="144"/>
      <c r="BF69" s="144"/>
      <c r="BG69" s="144"/>
      <c r="BH69" s="144"/>
      <c r="BL69" s="144"/>
      <c r="BM69" s="144"/>
      <c r="BN69" s="144"/>
      <c r="BX69" s="144"/>
      <c r="BY69" s="144"/>
      <c r="BZ69" s="144"/>
      <c r="CA69" s="144"/>
      <c r="CB69" s="144"/>
      <c r="CC69" s="144"/>
      <c r="CG69" s="144"/>
      <c r="CH69" s="144"/>
      <c r="CI69" s="144"/>
      <c r="CS69" s="144"/>
      <c r="CT69" s="144"/>
      <c r="CU69" s="144"/>
      <c r="CV69" s="144"/>
      <c r="CW69" s="144"/>
      <c r="CX69" s="144"/>
      <c r="DB69" s="144"/>
      <c r="DC69" s="144"/>
      <c r="DD69" s="144"/>
    </row>
    <row r="70" spans="13:108" x14ac:dyDescent="0.25">
      <c r="M70" s="144"/>
      <c r="N70" s="144"/>
      <c r="O70" s="144"/>
      <c r="P70" s="144"/>
      <c r="Q70" s="144"/>
      <c r="R70" s="144"/>
      <c r="V70" s="144"/>
      <c r="W70" s="144"/>
      <c r="X70" s="144"/>
      <c r="AH70" s="144"/>
      <c r="AI70" s="144"/>
      <c r="AJ70" s="144"/>
      <c r="AK70" s="144"/>
      <c r="AL70" s="144"/>
      <c r="AM70" s="144"/>
      <c r="AQ70" s="144"/>
      <c r="AR70" s="144"/>
      <c r="AS70" s="144"/>
      <c r="BC70" s="144"/>
      <c r="BD70" s="144"/>
      <c r="BE70" s="144"/>
      <c r="BF70" s="144"/>
      <c r="BG70" s="144"/>
      <c r="BH70" s="144"/>
      <c r="BL70" s="144"/>
      <c r="BM70" s="144"/>
      <c r="BN70" s="144"/>
      <c r="BX70" s="144"/>
      <c r="BY70" s="144"/>
      <c r="BZ70" s="144"/>
      <c r="CA70" s="144"/>
      <c r="CB70" s="144"/>
      <c r="CC70" s="144"/>
      <c r="CG70" s="144"/>
      <c r="CH70" s="144"/>
      <c r="CI70" s="144"/>
      <c r="CS70" s="144"/>
      <c r="CT70" s="144"/>
      <c r="CU70" s="144"/>
      <c r="CV70" s="144"/>
      <c r="CW70" s="144"/>
      <c r="CX70" s="144"/>
      <c r="DB70" s="144"/>
      <c r="DC70" s="144"/>
      <c r="DD70" s="144"/>
    </row>
    <row r="71" spans="13:108" x14ac:dyDescent="0.25">
      <c r="M71" s="144"/>
      <c r="N71" s="144"/>
      <c r="O71" s="144"/>
      <c r="P71" s="144"/>
      <c r="Q71" s="144"/>
      <c r="R71" s="144"/>
      <c r="V71" s="144"/>
      <c r="W71" s="144"/>
      <c r="X71" s="144"/>
      <c r="AH71" s="144"/>
      <c r="AI71" s="144"/>
      <c r="AJ71" s="144"/>
      <c r="AK71" s="144"/>
      <c r="AL71" s="144"/>
      <c r="AM71" s="144"/>
      <c r="AQ71" s="144"/>
      <c r="AR71" s="144"/>
      <c r="AS71" s="144"/>
      <c r="BC71" s="144"/>
      <c r="BD71" s="144"/>
      <c r="BE71" s="144"/>
      <c r="BF71" s="144"/>
      <c r="BG71" s="144"/>
      <c r="BH71" s="144"/>
      <c r="BL71" s="144"/>
      <c r="BM71" s="144"/>
      <c r="BN71" s="144"/>
      <c r="BX71" s="144"/>
      <c r="BY71" s="144"/>
      <c r="BZ71" s="144"/>
      <c r="CA71" s="144"/>
      <c r="CB71" s="144"/>
      <c r="CC71" s="144"/>
      <c r="CG71" s="144"/>
      <c r="CH71" s="144"/>
      <c r="CI71" s="144"/>
      <c r="CS71" s="144"/>
      <c r="CT71" s="144"/>
      <c r="CU71" s="144"/>
      <c r="CV71" s="144"/>
      <c r="CW71" s="144"/>
      <c r="CX71" s="144"/>
      <c r="DB71" s="144"/>
      <c r="DC71" s="144"/>
      <c r="DD71" s="144"/>
    </row>
    <row r="72" spans="13:108" x14ac:dyDescent="0.25">
      <c r="M72" s="144"/>
      <c r="N72" s="144"/>
      <c r="O72" s="144"/>
      <c r="P72" s="144"/>
      <c r="Q72" s="144"/>
      <c r="R72" s="144"/>
      <c r="V72" s="144"/>
      <c r="W72" s="144"/>
      <c r="X72" s="144"/>
      <c r="AH72" s="144"/>
      <c r="AI72" s="144"/>
      <c r="AJ72" s="144"/>
      <c r="AK72" s="144"/>
      <c r="AL72" s="144"/>
      <c r="AM72" s="144"/>
      <c r="AQ72" s="144"/>
      <c r="AR72" s="144"/>
      <c r="AS72" s="144"/>
      <c r="BC72" s="144"/>
      <c r="BD72" s="144"/>
      <c r="BE72" s="144"/>
      <c r="BF72" s="144"/>
      <c r="BG72" s="144"/>
      <c r="BH72" s="144"/>
      <c r="BL72" s="144"/>
      <c r="BM72" s="144"/>
      <c r="BN72" s="144"/>
      <c r="BX72" s="144"/>
      <c r="BY72" s="144"/>
      <c r="BZ72" s="144"/>
      <c r="CA72" s="144"/>
      <c r="CB72" s="144"/>
      <c r="CC72" s="144"/>
      <c r="CG72" s="144"/>
      <c r="CH72" s="144"/>
      <c r="CI72" s="144"/>
      <c r="CS72" s="144"/>
      <c r="CT72" s="144"/>
      <c r="CU72" s="144"/>
      <c r="CV72" s="144"/>
      <c r="CW72" s="144"/>
      <c r="CX72" s="144"/>
      <c r="DB72" s="144"/>
      <c r="DC72" s="144"/>
      <c r="DD72" s="144"/>
    </row>
    <row r="73" spans="13:108" x14ac:dyDescent="0.25">
      <c r="M73" s="144"/>
      <c r="N73" s="144"/>
      <c r="O73" s="144"/>
      <c r="P73" s="144"/>
      <c r="Q73" s="144"/>
      <c r="R73" s="144"/>
      <c r="V73" s="144"/>
      <c r="W73" s="144"/>
      <c r="X73" s="144"/>
      <c r="AH73" s="144"/>
      <c r="AI73" s="144"/>
      <c r="AJ73" s="144"/>
      <c r="AK73" s="144"/>
      <c r="AL73" s="144"/>
      <c r="AM73" s="144"/>
      <c r="AQ73" s="144"/>
      <c r="AR73" s="144"/>
      <c r="AS73" s="144"/>
      <c r="BC73" s="144"/>
      <c r="BD73" s="144"/>
      <c r="BE73" s="144"/>
      <c r="BF73" s="144"/>
      <c r="BG73" s="144"/>
      <c r="BH73" s="144"/>
      <c r="BL73" s="144"/>
      <c r="BM73" s="144"/>
      <c r="BN73" s="144"/>
      <c r="BX73" s="144"/>
      <c r="BY73" s="144"/>
      <c r="BZ73" s="144"/>
      <c r="CA73" s="144"/>
      <c r="CB73" s="144"/>
      <c r="CC73" s="144"/>
      <c r="CG73" s="144"/>
      <c r="CH73" s="144"/>
      <c r="CI73" s="144"/>
      <c r="CS73" s="144"/>
      <c r="CT73" s="144"/>
      <c r="CU73" s="144"/>
      <c r="CV73" s="144"/>
      <c r="CW73" s="144"/>
      <c r="CX73" s="144"/>
      <c r="DB73" s="144"/>
      <c r="DC73" s="144"/>
      <c r="DD73" s="144"/>
    </row>
    <row r="74" spans="13:108" x14ac:dyDescent="0.25">
      <c r="M74" s="144"/>
      <c r="N74" s="144"/>
      <c r="O74" s="144"/>
      <c r="P74" s="144"/>
      <c r="Q74" s="144"/>
      <c r="R74" s="144"/>
      <c r="V74" s="144"/>
      <c r="W74" s="144"/>
      <c r="X74" s="144"/>
      <c r="AH74" s="144"/>
      <c r="AI74" s="144"/>
      <c r="AJ74" s="144"/>
      <c r="AK74" s="144"/>
      <c r="AL74" s="144"/>
      <c r="AM74" s="144"/>
      <c r="AQ74" s="144"/>
      <c r="AR74" s="144"/>
      <c r="AS74" s="144"/>
      <c r="BC74" s="144"/>
      <c r="BD74" s="144"/>
      <c r="BE74" s="144"/>
      <c r="BF74" s="144"/>
      <c r="BG74" s="144"/>
      <c r="BH74" s="144"/>
      <c r="BL74" s="144"/>
      <c r="BM74" s="144"/>
      <c r="BN74" s="144"/>
      <c r="BX74" s="144"/>
      <c r="BY74" s="144"/>
      <c r="BZ74" s="144"/>
      <c r="CA74" s="144"/>
      <c r="CB74" s="144"/>
      <c r="CC74" s="144"/>
      <c r="CG74" s="144"/>
      <c r="CH74" s="144"/>
      <c r="CI74" s="144"/>
      <c r="CS74" s="144"/>
      <c r="CT74" s="144"/>
      <c r="CU74" s="144"/>
      <c r="CV74" s="144"/>
      <c r="CW74" s="144"/>
      <c r="CX74" s="144"/>
      <c r="DB74" s="144"/>
      <c r="DC74" s="144"/>
      <c r="DD74" s="144"/>
    </row>
    <row r="75" spans="13:108" x14ac:dyDescent="0.25">
      <c r="M75" s="144"/>
      <c r="N75" s="144"/>
      <c r="O75" s="144"/>
      <c r="P75" s="144"/>
      <c r="Q75" s="144"/>
      <c r="R75" s="144"/>
      <c r="V75" s="144"/>
      <c r="W75" s="144"/>
      <c r="X75" s="144"/>
      <c r="AH75" s="144"/>
      <c r="AI75" s="144"/>
      <c r="AJ75" s="144"/>
      <c r="AK75" s="144"/>
      <c r="AL75" s="144"/>
      <c r="AM75" s="144"/>
      <c r="AQ75" s="144"/>
      <c r="AR75" s="144"/>
      <c r="AS75" s="144"/>
      <c r="BC75" s="144"/>
      <c r="BD75" s="144"/>
      <c r="BE75" s="144"/>
      <c r="BF75" s="144"/>
      <c r="BG75" s="144"/>
      <c r="BH75" s="144"/>
      <c r="BL75" s="144"/>
      <c r="BM75" s="144"/>
      <c r="BN75" s="144"/>
      <c r="BX75" s="144"/>
      <c r="BY75" s="144"/>
      <c r="BZ75" s="144"/>
      <c r="CA75" s="144"/>
      <c r="CB75" s="144"/>
      <c r="CC75" s="144"/>
      <c r="CG75" s="144"/>
      <c r="CH75" s="144"/>
      <c r="CI75" s="144"/>
      <c r="CS75" s="144"/>
      <c r="CT75" s="144"/>
      <c r="CU75" s="144"/>
      <c r="CV75" s="144"/>
      <c r="CW75" s="144"/>
      <c r="CX75" s="144"/>
      <c r="DB75" s="144"/>
      <c r="DC75" s="144"/>
      <c r="DD75" s="144"/>
    </row>
    <row r="76" spans="13:108" x14ac:dyDescent="0.25">
      <c r="M76" s="144"/>
      <c r="N76" s="144"/>
      <c r="O76" s="144"/>
      <c r="P76" s="144"/>
      <c r="Q76" s="144"/>
      <c r="R76" s="144"/>
      <c r="V76" s="144"/>
      <c r="W76" s="144"/>
      <c r="X76" s="144"/>
      <c r="AH76" s="144"/>
      <c r="AI76" s="144"/>
      <c r="AJ76" s="144"/>
      <c r="AK76" s="144"/>
      <c r="AL76" s="144"/>
      <c r="AM76" s="144"/>
      <c r="AQ76" s="144"/>
      <c r="AR76" s="144"/>
      <c r="AS76" s="144"/>
      <c r="BC76" s="144"/>
      <c r="BD76" s="144"/>
      <c r="BE76" s="144"/>
      <c r="BF76" s="144"/>
      <c r="BG76" s="144"/>
      <c r="BH76" s="144"/>
      <c r="BL76" s="144"/>
      <c r="BM76" s="144"/>
      <c r="BN76" s="144"/>
      <c r="BX76" s="144"/>
      <c r="BY76" s="144"/>
      <c r="BZ76" s="144"/>
      <c r="CA76" s="144"/>
      <c r="CB76" s="144"/>
      <c r="CC76" s="144"/>
      <c r="CG76" s="144"/>
      <c r="CH76" s="144"/>
      <c r="CI76" s="144"/>
      <c r="CS76" s="144"/>
      <c r="CT76" s="144"/>
      <c r="CU76" s="144"/>
      <c r="CV76" s="144"/>
      <c r="CW76" s="144"/>
      <c r="CX76" s="144"/>
      <c r="DB76" s="144"/>
      <c r="DC76" s="144"/>
      <c r="DD76" s="144"/>
    </row>
    <row r="77" spans="13:108" x14ac:dyDescent="0.25">
      <c r="M77" s="144"/>
      <c r="N77" s="144"/>
      <c r="O77" s="144"/>
      <c r="P77" s="144"/>
      <c r="Q77" s="144"/>
      <c r="R77" s="144"/>
      <c r="V77" s="144"/>
      <c r="W77" s="144"/>
      <c r="X77" s="144"/>
      <c r="AH77" s="144"/>
      <c r="AI77" s="144"/>
      <c r="AJ77" s="144"/>
      <c r="AK77" s="144"/>
      <c r="AL77" s="144"/>
      <c r="AM77" s="144"/>
      <c r="AQ77" s="144"/>
      <c r="AR77" s="144"/>
      <c r="AS77" s="144"/>
      <c r="BC77" s="144"/>
      <c r="BD77" s="144"/>
      <c r="BE77" s="144"/>
      <c r="BF77" s="144"/>
      <c r="BG77" s="144"/>
      <c r="BH77" s="144"/>
      <c r="BL77" s="144"/>
      <c r="BM77" s="144"/>
      <c r="BN77" s="144"/>
      <c r="BX77" s="144"/>
      <c r="BY77" s="144"/>
      <c r="BZ77" s="144"/>
      <c r="CA77" s="144"/>
      <c r="CB77" s="144"/>
      <c r="CC77" s="144"/>
      <c r="CG77" s="144"/>
      <c r="CH77" s="144"/>
      <c r="CI77" s="144"/>
      <c r="CS77" s="144"/>
      <c r="CT77" s="144"/>
      <c r="CU77" s="144"/>
      <c r="CV77" s="144"/>
      <c r="CW77" s="144"/>
      <c r="CX77" s="144"/>
      <c r="DB77" s="144"/>
      <c r="DC77" s="144"/>
      <c r="DD77" s="144"/>
    </row>
    <row r="78" spans="13:108" x14ac:dyDescent="0.25">
      <c r="M78" s="144"/>
      <c r="N78" s="144"/>
      <c r="O78" s="144"/>
      <c r="P78" s="144"/>
      <c r="Q78" s="144"/>
      <c r="R78" s="144"/>
      <c r="V78" s="144"/>
      <c r="W78" s="144"/>
      <c r="X78" s="144"/>
      <c r="AH78" s="144"/>
      <c r="AI78" s="144"/>
      <c r="AJ78" s="144"/>
      <c r="AK78" s="144"/>
      <c r="AL78" s="144"/>
      <c r="AM78" s="144"/>
      <c r="AQ78" s="144"/>
      <c r="AR78" s="144"/>
      <c r="AS78" s="144"/>
      <c r="BC78" s="144"/>
      <c r="BD78" s="144"/>
      <c r="BE78" s="144"/>
      <c r="BF78" s="144"/>
      <c r="BG78" s="144"/>
      <c r="BH78" s="144"/>
      <c r="BL78" s="144"/>
      <c r="BM78" s="144"/>
      <c r="BN78" s="144"/>
      <c r="BX78" s="144"/>
      <c r="BY78" s="144"/>
      <c r="BZ78" s="144"/>
      <c r="CA78" s="144"/>
      <c r="CB78" s="144"/>
      <c r="CC78" s="144"/>
      <c r="CG78" s="144"/>
      <c r="CH78" s="144"/>
      <c r="CI78" s="144"/>
      <c r="CS78" s="144"/>
      <c r="CT78" s="144"/>
      <c r="CU78" s="144"/>
      <c r="CV78" s="144"/>
      <c r="CW78" s="144"/>
      <c r="CX78" s="144"/>
      <c r="DB78" s="144"/>
      <c r="DC78" s="144"/>
      <c r="DD78" s="144"/>
    </row>
    <row r="79" spans="13:108" x14ac:dyDescent="0.25">
      <c r="M79" s="144"/>
      <c r="N79" s="144"/>
      <c r="O79" s="144"/>
      <c r="P79" s="144"/>
      <c r="Q79" s="144"/>
      <c r="R79" s="144"/>
      <c r="V79" s="144"/>
      <c r="W79" s="144"/>
      <c r="X79" s="144"/>
      <c r="AH79" s="144"/>
      <c r="AI79" s="144"/>
      <c r="AJ79" s="144"/>
      <c r="AK79" s="144"/>
      <c r="AL79" s="144"/>
      <c r="AM79" s="144"/>
      <c r="AQ79" s="144"/>
      <c r="AR79" s="144"/>
      <c r="AS79" s="144"/>
      <c r="BC79" s="144"/>
      <c r="BD79" s="144"/>
      <c r="BE79" s="144"/>
      <c r="BF79" s="144"/>
      <c r="BG79" s="144"/>
      <c r="BH79" s="144"/>
      <c r="BL79" s="144"/>
      <c r="BM79" s="144"/>
      <c r="BN79" s="144"/>
      <c r="BX79" s="144"/>
      <c r="BY79" s="144"/>
      <c r="BZ79" s="144"/>
      <c r="CA79" s="144"/>
      <c r="CB79" s="144"/>
      <c r="CC79" s="144"/>
      <c r="CG79" s="144"/>
      <c r="CH79" s="144"/>
      <c r="CI79" s="144"/>
      <c r="CS79" s="144"/>
      <c r="CT79" s="144"/>
      <c r="CU79" s="144"/>
      <c r="CV79" s="144"/>
      <c r="CW79" s="144"/>
      <c r="CX79" s="144"/>
      <c r="DB79" s="144"/>
      <c r="DC79" s="144"/>
      <c r="DD79" s="144"/>
    </row>
    <row r="80" spans="13:108" x14ac:dyDescent="0.25">
      <c r="M80" s="144"/>
      <c r="N80" s="144"/>
      <c r="O80" s="144"/>
      <c r="P80" s="144"/>
      <c r="Q80" s="144"/>
      <c r="R80" s="144"/>
      <c r="V80" s="144"/>
      <c r="W80" s="144"/>
      <c r="X80" s="144"/>
      <c r="AH80" s="144"/>
      <c r="AI80" s="144"/>
      <c r="AJ80" s="144"/>
      <c r="AK80" s="144"/>
      <c r="AL80" s="144"/>
      <c r="AM80" s="144"/>
      <c r="AQ80" s="144"/>
      <c r="AR80" s="144"/>
      <c r="AS80" s="144"/>
      <c r="BC80" s="144"/>
      <c r="BD80" s="144"/>
      <c r="BE80" s="144"/>
      <c r="BF80" s="144"/>
      <c r="BG80" s="144"/>
      <c r="BH80" s="144"/>
      <c r="BL80" s="144"/>
      <c r="BM80" s="144"/>
      <c r="BN80" s="144"/>
      <c r="BX80" s="144"/>
      <c r="BY80" s="144"/>
      <c r="BZ80" s="144"/>
      <c r="CA80" s="144"/>
      <c r="CB80" s="144"/>
      <c r="CC80" s="144"/>
      <c r="CG80" s="144"/>
      <c r="CH80" s="144"/>
      <c r="CI80" s="144"/>
      <c r="CS80" s="144"/>
      <c r="CT80" s="144"/>
      <c r="CU80" s="144"/>
      <c r="CV80" s="144"/>
      <c r="CW80" s="144"/>
      <c r="CX80" s="144"/>
      <c r="DB80" s="144"/>
      <c r="DC80" s="144"/>
      <c r="DD80" s="144"/>
    </row>
    <row r="81" spans="13:108" x14ac:dyDescent="0.25">
      <c r="M81" s="144"/>
      <c r="N81" s="144"/>
      <c r="O81" s="144"/>
      <c r="P81" s="144"/>
      <c r="Q81" s="144"/>
      <c r="R81" s="144"/>
      <c r="V81" s="144"/>
      <c r="W81" s="144"/>
      <c r="X81" s="144"/>
      <c r="AH81" s="144"/>
      <c r="AI81" s="144"/>
      <c r="AJ81" s="144"/>
      <c r="AK81" s="144"/>
      <c r="AL81" s="144"/>
      <c r="AM81" s="144"/>
      <c r="AQ81" s="144"/>
      <c r="AR81" s="144"/>
      <c r="AS81" s="144"/>
      <c r="BC81" s="144"/>
      <c r="BD81" s="144"/>
      <c r="BE81" s="144"/>
      <c r="BF81" s="144"/>
      <c r="BG81" s="144"/>
      <c r="BH81" s="144"/>
      <c r="BL81" s="144"/>
      <c r="BM81" s="144"/>
      <c r="BN81" s="144"/>
      <c r="BX81" s="144"/>
      <c r="BY81" s="144"/>
      <c r="BZ81" s="144"/>
      <c r="CA81" s="144"/>
      <c r="CB81" s="144"/>
      <c r="CC81" s="144"/>
      <c r="CG81" s="144"/>
      <c r="CH81" s="144"/>
      <c r="CI81" s="144"/>
      <c r="CS81" s="144"/>
      <c r="CT81" s="144"/>
      <c r="CU81" s="144"/>
      <c r="CV81" s="144"/>
      <c r="CW81" s="144"/>
      <c r="CX81" s="144"/>
      <c r="DB81" s="144"/>
      <c r="DC81" s="144"/>
      <c r="DD81" s="144"/>
    </row>
    <row r="82" spans="13:108" x14ac:dyDescent="0.25">
      <c r="M82" s="144"/>
      <c r="N82" s="144"/>
      <c r="O82" s="144"/>
      <c r="P82" s="144"/>
      <c r="Q82" s="144"/>
      <c r="R82" s="144"/>
      <c r="V82" s="144"/>
      <c r="W82" s="144"/>
      <c r="X82" s="144"/>
      <c r="AH82" s="144"/>
      <c r="AI82" s="144"/>
      <c r="AJ82" s="144"/>
      <c r="AK82" s="144"/>
      <c r="AL82" s="144"/>
      <c r="AM82" s="144"/>
      <c r="AQ82" s="144"/>
      <c r="AR82" s="144"/>
      <c r="AS82" s="144"/>
      <c r="BC82" s="144"/>
      <c r="BD82" s="144"/>
      <c r="BE82" s="144"/>
      <c r="BF82" s="144"/>
      <c r="BG82" s="144"/>
      <c r="BH82" s="144"/>
      <c r="BL82" s="144"/>
      <c r="BM82" s="144"/>
      <c r="BN82" s="144"/>
      <c r="BX82" s="144"/>
      <c r="BY82" s="144"/>
      <c r="BZ82" s="144"/>
      <c r="CA82" s="144"/>
      <c r="CB82" s="144"/>
      <c r="CC82" s="144"/>
      <c r="CG82" s="144"/>
      <c r="CH82" s="144"/>
      <c r="CI82" s="144"/>
      <c r="CS82" s="144"/>
      <c r="CT82" s="144"/>
      <c r="CU82" s="144"/>
      <c r="CV82" s="144"/>
      <c r="CW82" s="144"/>
      <c r="CX82" s="144"/>
      <c r="DB82" s="144"/>
      <c r="DC82" s="144"/>
      <c r="DD82" s="144"/>
    </row>
    <row r="83" spans="13:108" x14ac:dyDescent="0.25">
      <c r="M83" s="144"/>
      <c r="N83" s="144"/>
      <c r="O83" s="144"/>
      <c r="P83" s="144"/>
      <c r="Q83" s="144"/>
      <c r="R83" s="144"/>
      <c r="V83" s="144"/>
      <c r="W83" s="144"/>
      <c r="X83" s="144"/>
      <c r="AH83" s="144"/>
      <c r="AI83" s="144"/>
      <c r="AJ83" s="144"/>
      <c r="AK83" s="144"/>
      <c r="AL83" s="144"/>
      <c r="AM83" s="144"/>
      <c r="AQ83" s="144"/>
      <c r="AR83" s="144"/>
      <c r="AS83" s="144"/>
      <c r="BC83" s="144"/>
      <c r="BD83" s="144"/>
      <c r="BE83" s="144"/>
      <c r="BF83" s="144"/>
      <c r="BG83" s="144"/>
      <c r="BH83" s="144"/>
      <c r="BL83" s="144"/>
      <c r="BM83" s="144"/>
      <c r="BN83" s="144"/>
      <c r="BX83" s="144"/>
      <c r="BY83" s="144"/>
      <c r="BZ83" s="144"/>
      <c r="CA83" s="144"/>
      <c r="CB83" s="144"/>
      <c r="CC83" s="144"/>
      <c r="CG83" s="144"/>
      <c r="CH83" s="144"/>
      <c r="CI83" s="144"/>
      <c r="CS83" s="144"/>
      <c r="CT83" s="144"/>
      <c r="CU83" s="144"/>
      <c r="CV83" s="144"/>
      <c r="CW83" s="144"/>
      <c r="CX83" s="144"/>
      <c r="DB83" s="144"/>
      <c r="DC83" s="144"/>
      <c r="DD83" s="144"/>
    </row>
    <row r="84" spans="13:108" x14ac:dyDescent="0.25">
      <c r="M84" s="144"/>
      <c r="N84" s="144"/>
      <c r="O84" s="144"/>
      <c r="P84" s="144"/>
      <c r="Q84" s="144"/>
      <c r="R84" s="144"/>
      <c r="V84" s="144"/>
      <c r="W84" s="144"/>
      <c r="X84" s="144"/>
      <c r="AH84" s="144"/>
      <c r="AI84" s="144"/>
      <c r="AJ84" s="144"/>
      <c r="AK84" s="144"/>
      <c r="AL84" s="144"/>
      <c r="AM84" s="144"/>
      <c r="AQ84" s="144"/>
      <c r="AR84" s="144"/>
      <c r="AS84" s="144"/>
      <c r="BC84" s="144"/>
      <c r="BD84" s="144"/>
      <c r="BE84" s="144"/>
      <c r="BF84" s="144"/>
      <c r="BG84" s="144"/>
      <c r="BH84" s="144"/>
      <c r="BL84" s="144"/>
      <c r="BM84" s="144"/>
      <c r="BN84" s="144"/>
      <c r="BX84" s="144"/>
      <c r="BY84" s="144"/>
      <c r="BZ84" s="144"/>
      <c r="CA84" s="144"/>
      <c r="CB84" s="144"/>
      <c r="CC84" s="144"/>
      <c r="CG84" s="144"/>
      <c r="CH84" s="144"/>
      <c r="CI84" s="144"/>
      <c r="CS84" s="144"/>
      <c r="CT84" s="144"/>
      <c r="CU84" s="144"/>
      <c r="CV84" s="144"/>
      <c r="CW84" s="144"/>
      <c r="CX84" s="144"/>
      <c r="DB84" s="144"/>
      <c r="DC84" s="144"/>
      <c r="DD84" s="144"/>
    </row>
    <row r="85" spans="13:108" x14ac:dyDescent="0.25">
      <c r="M85" s="144"/>
      <c r="N85" s="144"/>
      <c r="O85" s="144"/>
      <c r="P85" s="144"/>
      <c r="Q85" s="144"/>
      <c r="R85" s="144"/>
      <c r="V85" s="144"/>
      <c r="W85" s="144"/>
      <c r="X85" s="144"/>
      <c r="AH85" s="144"/>
      <c r="AI85" s="144"/>
      <c r="AJ85" s="144"/>
      <c r="AK85" s="144"/>
      <c r="AL85" s="144"/>
      <c r="AM85" s="144"/>
      <c r="AQ85" s="144"/>
      <c r="AR85" s="144"/>
      <c r="AS85" s="144"/>
      <c r="BC85" s="144"/>
      <c r="BD85" s="144"/>
      <c r="BE85" s="144"/>
      <c r="BF85" s="144"/>
      <c r="BG85" s="144"/>
      <c r="BH85" s="144"/>
      <c r="BL85" s="144"/>
      <c r="BM85" s="144"/>
      <c r="BN85" s="144"/>
      <c r="BX85" s="144"/>
      <c r="BY85" s="144"/>
      <c r="BZ85" s="144"/>
      <c r="CA85" s="144"/>
      <c r="CB85" s="144"/>
      <c r="CC85" s="144"/>
      <c r="CG85" s="144"/>
      <c r="CH85" s="144"/>
      <c r="CI85" s="144"/>
      <c r="CS85" s="144"/>
      <c r="CT85" s="144"/>
      <c r="CU85" s="144"/>
      <c r="CV85" s="144"/>
      <c r="CW85" s="144"/>
      <c r="CX85" s="144"/>
      <c r="DB85" s="144"/>
      <c r="DC85" s="144"/>
      <c r="DD85" s="144"/>
    </row>
    <row r="86" spans="13:108" x14ac:dyDescent="0.25">
      <c r="M86" s="144"/>
      <c r="N86" s="144"/>
      <c r="O86" s="144"/>
      <c r="P86" s="144"/>
      <c r="Q86" s="144"/>
      <c r="R86" s="144"/>
      <c r="V86" s="144"/>
      <c r="W86" s="144"/>
      <c r="X86" s="144"/>
      <c r="AH86" s="144"/>
      <c r="AI86" s="144"/>
      <c r="AJ86" s="144"/>
      <c r="AK86" s="144"/>
      <c r="AL86" s="144"/>
      <c r="AM86" s="144"/>
      <c r="AQ86" s="144"/>
      <c r="AR86" s="144"/>
      <c r="AS86" s="144"/>
      <c r="BC86" s="144"/>
      <c r="BD86" s="144"/>
      <c r="BE86" s="144"/>
      <c r="BF86" s="144"/>
      <c r="BG86" s="144"/>
      <c r="BH86" s="144"/>
      <c r="BL86" s="144"/>
      <c r="BM86" s="144"/>
      <c r="BN86" s="144"/>
      <c r="BX86" s="144"/>
      <c r="BY86" s="144"/>
      <c r="BZ86" s="144"/>
      <c r="CA86" s="144"/>
      <c r="CB86" s="144"/>
      <c r="CC86" s="144"/>
      <c r="CG86" s="144"/>
      <c r="CH86" s="144"/>
      <c r="CI86" s="144"/>
      <c r="CS86" s="144"/>
      <c r="CT86" s="144"/>
      <c r="CU86" s="144"/>
      <c r="CV86" s="144"/>
      <c r="CW86" s="144"/>
      <c r="CX86" s="144"/>
      <c r="DB86" s="144"/>
      <c r="DC86" s="144"/>
      <c r="DD86" s="144"/>
    </row>
    <row r="87" spans="13:108" x14ac:dyDescent="0.25">
      <c r="M87" s="144"/>
      <c r="N87" s="144"/>
      <c r="O87" s="144"/>
      <c r="P87" s="144"/>
      <c r="Q87" s="144"/>
      <c r="R87" s="144"/>
      <c r="V87" s="144"/>
      <c r="W87" s="144"/>
      <c r="X87" s="144"/>
      <c r="AH87" s="144"/>
      <c r="AI87" s="144"/>
      <c r="AJ87" s="144"/>
      <c r="AK87" s="144"/>
      <c r="AL87" s="144"/>
      <c r="AM87" s="144"/>
      <c r="AQ87" s="144"/>
      <c r="AR87" s="144"/>
      <c r="AS87" s="144"/>
      <c r="BC87" s="144"/>
      <c r="BD87" s="144"/>
      <c r="BE87" s="144"/>
      <c r="BF87" s="144"/>
      <c r="BG87" s="144"/>
      <c r="BH87" s="144"/>
      <c r="BL87" s="144"/>
      <c r="BM87" s="144"/>
      <c r="BN87" s="144"/>
      <c r="BX87" s="144"/>
      <c r="BY87" s="144"/>
      <c r="BZ87" s="144"/>
      <c r="CA87" s="144"/>
      <c r="CB87" s="144"/>
      <c r="CC87" s="144"/>
      <c r="CG87" s="144"/>
      <c r="CH87" s="144"/>
      <c r="CI87" s="144"/>
      <c r="CS87" s="144"/>
      <c r="CT87" s="144"/>
      <c r="CU87" s="144"/>
      <c r="CV87" s="144"/>
      <c r="CW87" s="144"/>
      <c r="CX87" s="144"/>
      <c r="DB87" s="144"/>
      <c r="DC87" s="144"/>
      <c r="DD87" s="144"/>
    </row>
    <row r="88" spans="13:108" x14ac:dyDescent="0.25">
      <c r="M88" s="144"/>
      <c r="N88" s="144"/>
      <c r="O88" s="144"/>
      <c r="P88" s="144"/>
      <c r="Q88" s="144"/>
      <c r="R88" s="144"/>
      <c r="V88" s="144"/>
      <c r="W88" s="144"/>
      <c r="X88" s="144"/>
      <c r="AH88" s="144"/>
      <c r="AI88" s="144"/>
      <c r="AJ88" s="144"/>
      <c r="AK88" s="144"/>
      <c r="AL88" s="144"/>
      <c r="AM88" s="144"/>
      <c r="AQ88" s="144"/>
      <c r="AR88" s="144"/>
      <c r="AS88" s="144"/>
      <c r="BC88" s="144"/>
      <c r="BD88" s="144"/>
      <c r="BE88" s="144"/>
      <c r="BF88" s="144"/>
      <c r="BG88" s="144"/>
      <c r="BH88" s="144"/>
      <c r="BL88" s="144"/>
      <c r="BM88" s="144"/>
      <c r="BN88" s="144"/>
      <c r="BX88" s="144"/>
      <c r="BY88" s="144"/>
      <c r="BZ88" s="144"/>
      <c r="CA88" s="144"/>
      <c r="CB88" s="144"/>
      <c r="CC88" s="144"/>
      <c r="CG88" s="144"/>
      <c r="CH88" s="144"/>
      <c r="CI88" s="144"/>
      <c r="CS88" s="144"/>
      <c r="CT88" s="144"/>
      <c r="CU88" s="144"/>
      <c r="CV88" s="144"/>
      <c r="CW88" s="144"/>
      <c r="CX88" s="144"/>
      <c r="DB88" s="144"/>
      <c r="DC88" s="144"/>
      <c r="DD88" s="144"/>
    </row>
    <row r="89" spans="13:108" x14ac:dyDescent="0.25">
      <c r="M89" s="144"/>
      <c r="N89" s="144"/>
      <c r="O89" s="144"/>
      <c r="P89" s="144"/>
      <c r="Q89" s="144"/>
      <c r="R89" s="144"/>
      <c r="V89" s="144"/>
      <c r="W89" s="144"/>
      <c r="X89" s="144"/>
      <c r="AH89" s="144"/>
      <c r="AI89" s="144"/>
      <c r="AJ89" s="144"/>
      <c r="AK89" s="144"/>
      <c r="AL89" s="144"/>
      <c r="AM89" s="144"/>
      <c r="AQ89" s="144"/>
      <c r="AR89" s="144"/>
      <c r="AS89" s="144"/>
      <c r="BC89" s="144"/>
      <c r="BD89" s="144"/>
      <c r="BE89" s="144"/>
      <c r="BF89" s="144"/>
      <c r="BG89" s="144"/>
      <c r="BH89" s="144"/>
      <c r="BL89" s="144"/>
      <c r="BM89" s="144"/>
      <c r="BN89" s="144"/>
      <c r="BX89" s="144"/>
      <c r="BY89" s="144"/>
      <c r="BZ89" s="144"/>
      <c r="CA89" s="144"/>
      <c r="CB89" s="144"/>
      <c r="CC89" s="144"/>
      <c r="CG89" s="144"/>
      <c r="CH89" s="144"/>
      <c r="CI89" s="144"/>
      <c r="CS89" s="144"/>
      <c r="CT89" s="144"/>
      <c r="CU89" s="144"/>
      <c r="CV89" s="144"/>
      <c r="CW89" s="144"/>
      <c r="CX89" s="144"/>
      <c r="DB89" s="144"/>
      <c r="DC89" s="144"/>
      <c r="DD89" s="144"/>
    </row>
    <row r="90" spans="13:108" x14ac:dyDescent="0.25">
      <c r="M90" s="144"/>
      <c r="N90" s="144"/>
      <c r="O90" s="144"/>
      <c r="P90" s="144"/>
      <c r="Q90" s="144"/>
      <c r="R90" s="144"/>
      <c r="V90" s="144"/>
      <c r="W90" s="144"/>
      <c r="X90" s="144"/>
      <c r="AH90" s="144"/>
      <c r="AI90" s="144"/>
      <c r="AJ90" s="144"/>
      <c r="AK90" s="144"/>
      <c r="AL90" s="144"/>
      <c r="AM90" s="144"/>
      <c r="AQ90" s="144"/>
      <c r="AR90" s="144"/>
      <c r="AS90" s="144"/>
      <c r="BC90" s="144"/>
      <c r="BD90" s="144"/>
      <c r="BE90" s="144"/>
      <c r="BF90" s="144"/>
      <c r="BG90" s="144"/>
      <c r="BH90" s="144"/>
      <c r="BL90" s="144"/>
      <c r="BM90" s="144"/>
      <c r="BN90" s="144"/>
      <c r="BX90" s="144"/>
      <c r="BY90" s="144"/>
      <c r="BZ90" s="144"/>
      <c r="CA90" s="144"/>
      <c r="CB90" s="144"/>
      <c r="CC90" s="144"/>
      <c r="CG90" s="144"/>
      <c r="CH90" s="144"/>
      <c r="CI90" s="144"/>
      <c r="CS90" s="144"/>
      <c r="CT90" s="144"/>
      <c r="CU90" s="144"/>
      <c r="CV90" s="144"/>
      <c r="CW90" s="144"/>
      <c r="CX90" s="144"/>
      <c r="DB90" s="144"/>
      <c r="DC90" s="144"/>
      <c r="DD90" s="144"/>
    </row>
    <row r="91" spans="13:108" x14ac:dyDescent="0.25">
      <c r="M91" s="144"/>
      <c r="N91" s="144"/>
      <c r="O91" s="144"/>
      <c r="P91" s="144"/>
      <c r="Q91" s="144"/>
      <c r="R91" s="144"/>
      <c r="V91" s="144"/>
      <c r="W91" s="144"/>
      <c r="X91" s="144"/>
      <c r="AH91" s="144"/>
      <c r="AI91" s="144"/>
      <c r="AJ91" s="144"/>
      <c r="AK91" s="144"/>
      <c r="AL91" s="144"/>
      <c r="AM91" s="144"/>
      <c r="AQ91" s="144"/>
      <c r="AR91" s="144"/>
      <c r="AS91" s="144"/>
      <c r="BC91" s="144"/>
      <c r="BD91" s="144"/>
      <c r="BE91" s="144"/>
      <c r="BF91" s="144"/>
      <c r="BG91" s="144"/>
      <c r="BH91" s="144"/>
      <c r="BL91" s="144"/>
      <c r="BM91" s="144"/>
      <c r="BN91" s="144"/>
      <c r="BX91" s="144"/>
      <c r="BY91" s="144"/>
      <c r="BZ91" s="144"/>
      <c r="CA91" s="144"/>
      <c r="CB91" s="144"/>
      <c r="CC91" s="144"/>
      <c r="CG91" s="144"/>
      <c r="CH91" s="144"/>
      <c r="CI91" s="144"/>
      <c r="CS91" s="144"/>
      <c r="CT91" s="144"/>
      <c r="CU91" s="144"/>
      <c r="CV91" s="144"/>
      <c r="CW91" s="144"/>
      <c r="CX91" s="144"/>
      <c r="DB91" s="144"/>
      <c r="DC91" s="144"/>
      <c r="DD91" s="144"/>
    </row>
    <row r="92" spans="13:108" x14ac:dyDescent="0.25">
      <c r="M92" s="144"/>
      <c r="N92" s="144"/>
      <c r="O92" s="144"/>
      <c r="P92" s="144"/>
      <c r="Q92" s="144"/>
      <c r="R92" s="144"/>
      <c r="V92" s="144"/>
      <c r="W92" s="144"/>
      <c r="X92" s="144"/>
      <c r="AH92" s="144"/>
      <c r="AI92" s="144"/>
      <c r="AJ92" s="144"/>
      <c r="AK92" s="144"/>
      <c r="AL92" s="144"/>
      <c r="AM92" s="144"/>
      <c r="AQ92" s="144"/>
      <c r="AR92" s="144"/>
      <c r="AS92" s="144"/>
      <c r="BC92" s="144"/>
      <c r="BD92" s="144"/>
      <c r="BE92" s="144"/>
      <c r="BF92" s="144"/>
      <c r="BG92" s="144"/>
      <c r="BH92" s="144"/>
      <c r="BL92" s="144"/>
      <c r="BM92" s="144"/>
      <c r="BN92" s="144"/>
      <c r="BX92" s="144"/>
      <c r="BY92" s="144"/>
      <c r="BZ92" s="144"/>
      <c r="CA92" s="144"/>
      <c r="CB92" s="144"/>
      <c r="CC92" s="144"/>
      <c r="CG92" s="144"/>
      <c r="CH92" s="144"/>
      <c r="CI92" s="144"/>
      <c r="CS92" s="144"/>
      <c r="CT92" s="144"/>
      <c r="CU92" s="144"/>
      <c r="CV92" s="144"/>
      <c r="CW92" s="144"/>
      <c r="CX92" s="144"/>
      <c r="DB92" s="144"/>
      <c r="DC92" s="144"/>
      <c r="DD92" s="144"/>
    </row>
    <row r="93" spans="13:108" x14ac:dyDescent="0.25">
      <c r="M93" s="144"/>
      <c r="N93" s="144"/>
      <c r="O93" s="144"/>
      <c r="P93" s="144"/>
      <c r="Q93" s="144"/>
      <c r="R93" s="144"/>
      <c r="V93" s="144"/>
      <c r="W93" s="144"/>
      <c r="X93" s="144"/>
      <c r="AH93" s="144"/>
      <c r="AI93" s="144"/>
      <c r="AJ93" s="144"/>
      <c r="AK93" s="144"/>
      <c r="AL93" s="144"/>
      <c r="AM93" s="144"/>
      <c r="AQ93" s="144"/>
      <c r="AR93" s="144"/>
      <c r="AS93" s="144"/>
      <c r="BC93" s="144"/>
      <c r="BD93" s="144"/>
      <c r="BE93" s="144"/>
      <c r="BF93" s="144"/>
      <c r="BG93" s="144"/>
      <c r="BH93" s="144"/>
      <c r="BL93" s="144"/>
      <c r="BM93" s="144"/>
      <c r="BN93" s="144"/>
      <c r="BX93" s="144"/>
      <c r="BY93" s="144"/>
      <c r="BZ93" s="144"/>
      <c r="CA93" s="144"/>
      <c r="CB93" s="144"/>
      <c r="CC93" s="144"/>
      <c r="CG93" s="144"/>
      <c r="CH93" s="144"/>
      <c r="CI93" s="144"/>
      <c r="CS93" s="144"/>
      <c r="CT93" s="144"/>
      <c r="CU93" s="144"/>
      <c r="CV93" s="144"/>
      <c r="CW93" s="144"/>
      <c r="CX93" s="144"/>
      <c r="DB93" s="144"/>
      <c r="DC93" s="144"/>
      <c r="DD93" s="144"/>
    </row>
    <row r="94" spans="13:108" x14ac:dyDescent="0.25">
      <c r="M94" s="144"/>
      <c r="N94" s="144"/>
      <c r="O94" s="144"/>
      <c r="P94" s="144"/>
      <c r="Q94" s="144"/>
      <c r="R94" s="144"/>
      <c r="V94" s="144"/>
      <c r="W94" s="144"/>
      <c r="X94" s="144"/>
      <c r="AH94" s="144"/>
      <c r="AI94" s="144"/>
      <c r="AJ94" s="144"/>
      <c r="AK94" s="144"/>
      <c r="AL94" s="144"/>
      <c r="AM94" s="144"/>
      <c r="AQ94" s="144"/>
      <c r="AR94" s="144"/>
      <c r="AS94" s="144"/>
      <c r="BC94" s="144"/>
      <c r="BD94" s="144"/>
      <c r="BE94" s="144"/>
      <c r="BF94" s="144"/>
      <c r="BG94" s="144"/>
      <c r="BH94" s="144"/>
      <c r="BL94" s="144"/>
      <c r="BM94" s="144"/>
      <c r="BN94" s="144"/>
      <c r="BX94" s="144"/>
      <c r="BY94" s="144"/>
      <c r="BZ94" s="144"/>
      <c r="CA94" s="144"/>
      <c r="CB94" s="144"/>
      <c r="CC94" s="144"/>
      <c r="CG94" s="144"/>
      <c r="CH94" s="144"/>
      <c r="CI94" s="144"/>
      <c r="CS94" s="144"/>
      <c r="CT94" s="144"/>
      <c r="CU94" s="144"/>
      <c r="CV94" s="144"/>
      <c r="CW94" s="144"/>
      <c r="CX94" s="144"/>
      <c r="DB94" s="144"/>
      <c r="DC94" s="144"/>
      <c r="DD94" s="144"/>
    </row>
  </sheetData>
  <mergeCells count="121">
    <mergeCell ref="BF52:BN52"/>
    <mergeCell ref="BO52:BZ52"/>
    <mergeCell ref="CA52:CI52"/>
    <mergeCell ref="CJ52:CU52"/>
    <mergeCell ref="CV52:DD52"/>
    <mergeCell ref="D52:O52"/>
    <mergeCell ref="P52:X52"/>
    <mergeCell ref="Y52:AJ52"/>
    <mergeCell ref="AK52:AS52"/>
    <mergeCell ref="AT52:BE52"/>
    <mergeCell ref="BF51:BN51"/>
    <mergeCell ref="BO51:BZ51"/>
    <mergeCell ref="CA51:CI51"/>
    <mergeCell ref="CJ51:CU51"/>
    <mergeCell ref="CV51:DD51"/>
    <mergeCell ref="D51:O51"/>
    <mergeCell ref="P51:X51"/>
    <mergeCell ref="Y51:AJ51"/>
    <mergeCell ref="AK51:AS51"/>
    <mergeCell ref="AT51:BE51"/>
    <mergeCell ref="BF50:BN50"/>
    <mergeCell ref="BO50:BZ50"/>
    <mergeCell ref="CA50:CI50"/>
    <mergeCell ref="CJ50:CU50"/>
    <mergeCell ref="CV50:DD50"/>
    <mergeCell ref="D50:O50"/>
    <mergeCell ref="P50:X50"/>
    <mergeCell ref="Y50:AJ50"/>
    <mergeCell ref="AK50:AS50"/>
    <mergeCell ref="AT50:BE50"/>
    <mergeCell ref="BL5:BN5"/>
    <mergeCell ref="BU5:BW5"/>
    <mergeCell ref="BX5:BZ5"/>
    <mergeCell ref="A1:A6"/>
    <mergeCell ref="B1:B6"/>
    <mergeCell ref="C1:C6"/>
    <mergeCell ref="B47:B48"/>
    <mergeCell ref="DB5:DD5"/>
    <mergeCell ref="AN5:AP5"/>
    <mergeCell ref="AQ5:AS5"/>
    <mergeCell ref="AZ5:BB5"/>
    <mergeCell ref="BC5:BE5"/>
    <mergeCell ref="BI5:BK5"/>
    <mergeCell ref="J5:L5"/>
    <mergeCell ref="M5:O5"/>
    <mergeCell ref="S5:U5"/>
    <mergeCell ref="V5:X5"/>
    <mergeCell ref="AE5:AG5"/>
    <mergeCell ref="P3:R5"/>
    <mergeCell ref="V3:X4"/>
    <mergeCell ref="Y3:AJ3"/>
    <mergeCell ref="DB3:DD4"/>
    <mergeCell ref="D4:F5"/>
    <mergeCell ref="G4:I5"/>
    <mergeCell ref="BO4:BQ5"/>
    <mergeCell ref="BR4:BT5"/>
    <mergeCell ref="CV3:CX5"/>
    <mergeCell ref="CY3:DA4"/>
    <mergeCell ref="CP4:CU4"/>
    <mergeCell ref="CG5:CI5"/>
    <mergeCell ref="CP5:CR5"/>
    <mergeCell ref="CS5:CU5"/>
    <mergeCell ref="CY5:DA5"/>
    <mergeCell ref="CJ4:CL5"/>
    <mergeCell ref="CM4:CO5"/>
    <mergeCell ref="CG3:CI4"/>
    <mergeCell ref="CJ3:CL3"/>
    <mergeCell ref="CM3:CU3"/>
    <mergeCell ref="CA3:CC5"/>
    <mergeCell ref="CD3:CF4"/>
    <mergeCell ref="BF1:BN1"/>
    <mergeCell ref="BO1:BZ1"/>
    <mergeCell ref="CA1:CI1"/>
    <mergeCell ref="CJ1:CU1"/>
    <mergeCell ref="CV1:DD1"/>
    <mergeCell ref="D1:O1"/>
    <mergeCell ref="P1:X1"/>
    <mergeCell ref="Y1:AJ1"/>
    <mergeCell ref="AK1:AS1"/>
    <mergeCell ref="AT1:BE1"/>
    <mergeCell ref="A49:C49"/>
    <mergeCell ref="D3:O3"/>
    <mergeCell ref="AQ3:AS4"/>
    <mergeCell ref="CJ2:CU2"/>
    <mergeCell ref="CV2:DD2"/>
    <mergeCell ref="D2:O2"/>
    <mergeCell ref="P2:X2"/>
    <mergeCell ref="Y2:AJ2"/>
    <mergeCell ref="AK2:AS2"/>
    <mergeCell ref="AT2:BE2"/>
    <mergeCell ref="CD5:CF5"/>
    <mergeCell ref="BU4:BZ4"/>
    <mergeCell ref="BF3:BH5"/>
    <mergeCell ref="BI3:BK4"/>
    <mergeCell ref="BL3:BN4"/>
    <mergeCell ref="BO3:BQ3"/>
    <mergeCell ref="BR3:BZ3"/>
    <mergeCell ref="BF2:BN2"/>
    <mergeCell ref="BO2:BZ2"/>
    <mergeCell ref="CA2:CI2"/>
    <mergeCell ref="AE4:AG4"/>
    <mergeCell ref="AH4:AJ5"/>
    <mergeCell ref="AT4:AV5"/>
    <mergeCell ref="AW4:AY5"/>
    <mergeCell ref="B26:B27"/>
    <mergeCell ref="B41:B44"/>
    <mergeCell ref="B45:B46"/>
    <mergeCell ref="B36:B37"/>
    <mergeCell ref="AT3:AV3"/>
    <mergeCell ref="AW3:BE3"/>
    <mergeCell ref="S3:U4"/>
    <mergeCell ref="B7:B8"/>
    <mergeCell ref="B10:B11"/>
    <mergeCell ref="B12:B14"/>
    <mergeCell ref="AK3:AM5"/>
    <mergeCell ref="AN3:AP4"/>
    <mergeCell ref="B15:B17"/>
    <mergeCell ref="AZ4:BE4"/>
    <mergeCell ref="J4:O4"/>
    <mergeCell ref="Y4:AA5"/>
    <mergeCell ref="AB4:AD5"/>
  </mergeCells>
  <conditionalFormatting sqref="G53:DD94">
    <cfRule type="cellIs" dxfId="1" priority="1" operator="equal">
      <formula>FALSE</formula>
    </cfRule>
  </conditionalFormatting>
  <pageMargins left="0.70866141732283505" right="0.70866141732283505" top="0.74803149606299202" bottom="0.74803149606299202" header="0.31496062992126" footer="0.31496062992126"/>
  <pageSetup paperSize="9" scale="52" firstPageNumber="55" orientation="landscape" useFirstPageNumber="1" r:id="rId1"/>
  <headerFooter>
    <oddFooter>Page &amp;P</oddFooter>
  </headerFooter>
  <rowBreaks count="1" manualBreakCount="1">
    <brk id="27" max="107" man="1"/>
  </rowBreaks>
  <colBreaks count="9" manualBreakCount="9">
    <brk id="15" max="1048575" man="1"/>
    <brk id="24" max="1048575" man="1"/>
    <brk id="36" max="1048575" man="1"/>
    <brk id="45" max="1048575" man="1"/>
    <brk id="57" max="1048575" man="1"/>
    <brk id="66" max="1048575" man="1"/>
    <brk id="78" max="1048575" man="1"/>
    <brk id="87" max="1048575" man="1"/>
    <brk id="9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J97"/>
  <sheetViews>
    <sheetView view="pageBreakPreview" zoomScale="70" zoomScaleSheetLayoutView="70" workbookViewId="0">
      <pane xSplit="3" ySplit="6" topLeftCell="CO30" activePane="bottomRight" state="frozen"/>
      <selection pane="topRight" activeCell="C1" sqref="C1"/>
      <selection pane="bottomLeft" activeCell="A7" sqref="A7"/>
      <selection pane="bottomRight" activeCell="D7" sqref="D7:DD49"/>
    </sheetView>
  </sheetViews>
  <sheetFormatPr defaultRowHeight="15" x14ac:dyDescent="0.25"/>
  <cols>
    <col min="2" max="2" width="12.42578125" customWidth="1"/>
    <col min="3" max="3" width="28.85546875" customWidth="1"/>
    <col min="4" max="15" width="16.42578125" customWidth="1"/>
    <col min="16" max="24" width="21.140625" customWidth="1"/>
    <col min="25" max="36" width="16.28515625" customWidth="1"/>
    <col min="37" max="45" width="21.5703125" customWidth="1"/>
    <col min="46" max="57" width="16.28515625" customWidth="1"/>
    <col min="58" max="66" width="21.7109375" customWidth="1"/>
    <col min="67" max="78" width="16.28515625" customWidth="1"/>
    <col min="79" max="87" width="21.5703125" customWidth="1"/>
    <col min="88" max="99" width="16.42578125" customWidth="1"/>
    <col min="100" max="108" width="21.7109375" customWidth="1"/>
    <col min="109" max="117" width="10" bestFit="1" customWidth="1"/>
    <col min="127" max="135" width="10" bestFit="1" customWidth="1"/>
  </cols>
  <sheetData>
    <row r="1" spans="1:140" ht="18" customHeight="1" x14ac:dyDescent="0.25">
      <c r="A1" s="481" t="s">
        <v>401</v>
      </c>
      <c r="B1" s="481" t="s">
        <v>356</v>
      </c>
      <c r="C1" s="481" t="s">
        <v>42</v>
      </c>
      <c r="D1" s="479" t="s">
        <v>389</v>
      </c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479" t="s">
        <v>389</v>
      </c>
      <c r="Q1" s="479"/>
      <c r="R1" s="479"/>
      <c r="S1" s="479"/>
      <c r="T1" s="479"/>
      <c r="U1" s="479"/>
      <c r="V1" s="479"/>
      <c r="W1" s="479"/>
      <c r="X1" s="479"/>
      <c r="Y1" s="479" t="s">
        <v>389</v>
      </c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 t="s">
        <v>389</v>
      </c>
      <c r="AL1" s="479"/>
      <c r="AM1" s="479"/>
      <c r="AN1" s="479"/>
      <c r="AO1" s="479"/>
      <c r="AP1" s="479"/>
      <c r="AQ1" s="479"/>
      <c r="AR1" s="479"/>
      <c r="AS1" s="479"/>
      <c r="AT1" s="479" t="s">
        <v>389</v>
      </c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 t="s">
        <v>389</v>
      </c>
      <c r="BG1" s="479"/>
      <c r="BH1" s="479"/>
      <c r="BI1" s="479"/>
      <c r="BJ1" s="479"/>
      <c r="BK1" s="479"/>
      <c r="BL1" s="479"/>
      <c r="BM1" s="479"/>
      <c r="BN1" s="479"/>
      <c r="BO1" s="479" t="s">
        <v>389</v>
      </c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 t="s">
        <v>389</v>
      </c>
      <c r="CB1" s="479"/>
      <c r="CC1" s="479"/>
      <c r="CD1" s="479"/>
      <c r="CE1" s="479"/>
      <c r="CF1" s="479"/>
      <c r="CG1" s="479"/>
      <c r="CH1" s="479"/>
      <c r="CI1" s="479"/>
      <c r="CJ1" s="479" t="s">
        <v>389</v>
      </c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 t="s">
        <v>389</v>
      </c>
      <c r="CW1" s="479"/>
      <c r="CX1" s="479"/>
      <c r="CY1" s="479"/>
      <c r="CZ1" s="479"/>
      <c r="DA1" s="479"/>
      <c r="DB1" s="479"/>
      <c r="DC1" s="479"/>
      <c r="DD1" s="479"/>
    </row>
    <row r="2" spans="1:140" ht="18" x14ac:dyDescent="0.25">
      <c r="A2" s="481"/>
      <c r="B2" s="481"/>
      <c r="C2" s="481"/>
      <c r="D2" s="480" t="s">
        <v>433</v>
      </c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 t="s">
        <v>434</v>
      </c>
      <c r="Q2" s="480"/>
      <c r="R2" s="480"/>
      <c r="S2" s="480"/>
      <c r="T2" s="480"/>
      <c r="U2" s="480"/>
      <c r="V2" s="480"/>
      <c r="W2" s="480"/>
      <c r="X2" s="480"/>
      <c r="Y2" s="480" t="s">
        <v>435</v>
      </c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 t="s">
        <v>436</v>
      </c>
      <c r="AL2" s="480"/>
      <c r="AM2" s="480"/>
      <c r="AN2" s="480"/>
      <c r="AO2" s="480"/>
      <c r="AP2" s="480"/>
      <c r="AQ2" s="480"/>
      <c r="AR2" s="480"/>
      <c r="AS2" s="480"/>
      <c r="AT2" s="480" t="s">
        <v>437</v>
      </c>
      <c r="AU2" s="480"/>
      <c r="AV2" s="480"/>
      <c r="AW2" s="480"/>
      <c r="AX2" s="480"/>
      <c r="AY2" s="480"/>
      <c r="AZ2" s="480"/>
      <c r="BA2" s="480"/>
      <c r="BB2" s="480"/>
      <c r="BC2" s="480"/>
      <c r="BD2" s="480"/>
      <c r="BE2" s="480"/>
      <c r="BF2" s="480" t="s">
        <v>411</v>
      </c>
      <c r="BG2" s="480"/>
      <c r="BH2" s="480"/>
      <c r="BI2" s="480"/>
      <c r="BJ2" s="480"/>
      <c r="BK2" s="480"/>
      <c r="BL2" s="480"/>
      <c r="BM2" s="480"/>
      <c r="BN2" s="480"/>
      <c r="BO2" s="480" t="s">
        <v>438</v>
      </c>
      <c r="BP2" s="480"/>
      <c r="BQ2" s="480"/>
      <c r="BR2" s="480"/>
      <c r="BS2" s="480"/>
      <c r="BT2" s="480"/>
      <c r="BU2" s="480"/>
      <c r="BV2" s="480"/>
      <c r="BW2" s="480"/>
      <c r="BX2" s="480"/>
      <c r="BY2" s="480"/>
      <c r="BZ2" s="480"/>
      <c r="CA2" s="480" t="s">
        <v>439</v>
      </c>
      <c r="CB2" s="480"/>
      <c r="CC2" s="480"/>
      <c r="CD2" s="480"/>
      <c r="CE2" s="480"/>
      <c r="CF2" s="480"/>
      <c r="CG2" s="480"/>
      <c r="CH2" s="480"/>
      <c r="CI2" s="480"/>
      <c r="CJ2" s="480" t="s">
        <v>440</v>
      </c>
      <c r="CK2" s="480"/>
      <c r="CL2" s="480"/>
      <c r="CM2" s="480"/>
      <c r="CN2" s="480"/>
      <c r="CO2" s="480"/>
      <c r="CP2" s="480"/>
      <c r="CQ2" s="480"/>
      <c r="CR2" s="480"/>
      <c r="CS2" s="480"/>
      <c r="CT2" s="480"/>
      <c r="CU2" s="480"/>
      <c r="CV2" s="480" t="s">
        <v>441</v>
      </c>
      <c r="CW2" s="480"/>
      <c r="CX2" s="480"/>
      <c r="CY2" s="480"/>
      <c r="CZ2" s="480"/>
      <c r="DA2" s="480"/>
      <c r="DB2" s="480"/>
      <c r="DC2" s="480"/>
      <c r="DD2" s="480"/>
    </row>
    <row r="3" spans="1:140" ht="24.75" customHeight="1" x14ac:dyDescent="0.25">
      <c r="A3" s="481"/>
      <c r="B3" s="481"/>
      <c r="C3" s="481"/>
      <c r="D3" s="482" t="s">
        <v>188</v>
      </c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3" t="s">
        <v>193</v>
      </c>
      <c r="Q3" s="483"/>
      <c r="R3" s="483"/>
      <c r="S3" s="483" t="s">
        <v>194</v>
      </c>
      <c r="T3" s="483"/>
      <c r="U3" s="483"/>
      <c r="V3" s="483" t="s">
        <v>195</v>
      </c>
      <c r="W3" s="483"/>
      <c r="X3" s="483"/>
      <c r="Y3" s="482" t="s">
        <v>188</v>
      </c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3" t="s">
        <v>193</v>
      </c>
      <c r="AL3" s="483"/>
      <c r="AM3" s="483"/>
      <c r="AN3" s="483" t="s">
        <v>194</v>
      </c>
      <c r="AO3" s="483"/>
      <c r="AP3" s="483"/>
      <c r="AQ3" s="483" t="s">
        <v>195</v>
      </c>
      <c r="AR3" s="483"/>
      <c r="AS3" s="483"/>
      <c r="AT3" s="481"/>
      <c r="AU3" s="481"/>
      <c r="AV3" s="481"/>
      <c r="AW3" s="482" t="s">
        <v>188</v>
      </c>
      <c r="AX3" s="482"/>
      <c r="AY3" s="482"/>
      <c r="AZ3" s="482"/>
      <c r="BA3" s="482"/>
      <c r="BB3" s="482"/>
      <c r="BC3" s="482"/>
      <c r="BD3" s="482"/>
      <c r="BE3" s="482"/>
      <c r="BF3" s="483" t="s">
        <v>193</v>
      </c>
      <c r="BG3" s="483"/>
      <c r="BH3" s="483"/>
      <c r="BI3" s="483" t="s">
        <v>194</v>
      </c>
      <c r="BJ3" s="483"/>
      <c r="BK3" s="483"/>
      <c r="BL3" s="483" t="s">
        <v>195</v>
      </c>
      <c r="BM3" s="483"/>
      <c r="BN3" s="483"/>
      <c r="BO3" s="481"/>
      <c r="BP3" s="481"/>
      <c r="BQ3" s="481"/>
      <c r="BR3" s="482" t="s">
        <v>188</v>
      </c>
      <c r="BS3" s="482"/>
      <c r="BT3" s="482"/>
      <c r="BU3" s="482"/>
      <c r="BV3" s="482"/>
      <c r="BW3" s="482"/>
      <c r="BX3" s="482"/>
      <c r="BY3" s="482"/>
      <c r="BZ3" s="482"/>
      <c r="CA3" s="483" t="s">
        <v>193</v>
      </c>
      <c r="CB3" s="483"/>
      <c r="CC3" s="483"/>
      <c r="CD3" s="483" t="s">
        <v>194</v>
      </c>
      <c r="CE3" s="483"/>
      <c r="CF3" s="483"/>
      <c r="CG3" s="483" t="s">
        <v>195</v>
      </c>
      <c r="CH3" s="483"/>
      <c r="CI3" s="483"/>
      <c r="CJ3" s="481"/>
      <c r="CK3" s="481"/>
      <c r="CL3" s="481"/>
      <c r="CM3" s="482" t="s">
        <v>188</v>
      </c>
      <c r="CN3" s="482"/>
      <c r="CO3" s="482"/>
      <c r="CP3" s="482"/>
      <c r="CQ3" s="482"/>
      <c r="CR3" s="482"/>
      <c r="CS3" s="482"/>
      <c r="CT3" s="482"/>
      <c r="CU3" s="482"/>
      <c r="CV3" s="483" t="s">
        <v>193</v>
      </c>
      <c r="CW3" s="483"/>
      <c r="CX3" s="483"/>
      <c r="CY3" s="483" t="s">
        <v>194</v>
      </c>
      <c r="CZ3" s="483"/>
      <c r="DA3" s="483"/>
      <c r="DB3" s="483" t="s">
        <v>195</v>
      </c>
      <c r="DC3" s="483"/>
      <c r="DD3" s="483"/>
    </row>
    <row r="4" spans="1:140" ht="15" customHeight="1" x14ac:dyDescent="0.25">
      <c r="A4" s="481"/>
      <c r="B4" s="481"/>
      <c r="C4" s="481"/>
      <c r="D4" s="481" t="s">
        <v>444</v>
      </c>
      <c r="E4" s="481"/>
      <c r="F4" s="481"/>
      <c r="G4" s="484" t="s">
        <v>445</v>
      </c>
      <c r="H4" s="484"/>
      <c r="I4" s="484"/>
      <c r="J4" s="482" t="s">
        <v>6</v>
      </c>
      <c r="K4" s="482"/>
      <c r="L4" s="482"/>
      <c r="M4" s="482"/>
      <c r="N4" s="482"/>
      <c r="O4" s="482"/>
      <c r="P4" s="483"/>
      <c r="Q4" s="483"/>
      <c r="R4" s="483"/>
      <c r="S4" s="483"/>
      <c r="T4" s="483"/>
      <c r="U4" s="483"/>
      <c r="V4" s="483"/>
      <c r="W4" s="483"/>
      <c r="X4" s="483"/>
      <c r="Y4" s="481" t="s">
        <v>446</v>
      </c>
      <c r="Z4" s="481"/>
      <c r="AA4" s="481"/>
      <c r="AB4" s="484" t="s">
        <v>447</v>
      </c>
      <c r="AC4" s="484"/>
      <c r="AD4" s="484"/>
      <c r="AE4" s="482" t="s">
        <v>6</v>
      </c>
      <c r="AF4" s="482"/>
      <c r="AG4" s="482"/>
      <c r="AH4" s="484" t="s">
        <v>397</v>
      </c>
      <c r="AI4" s="484"/>
      <c r="AJ4" s="484"/>
      <c r="AK4" s="483"/>
      <c r="AL4" s="483"/>
      <c r="AM4" s="483"/>
      <c r="AN4" s="483"/>
      <c r="AO4" s="483"/>
      <c r="AP4" s="483"/>
      <c r="AQ4" s="483"/>
      <c r="AR4" s="483"/>
      <c r="AS4" s="483"/>
      <c r="AT4" s="481" t="s">
        <v>448</v>
      </c>
      <c r="AU4" s="481"/>
      <c r="AV4" s="481"/>
      <c r="AW4" s="484" t="s">
        <v>449</v>
      </c>
      <c r="AX4" s="484"/>
      <c r="AY4" s="484"/>
      <c r="AZ4" s="482" t="s">
        <v>6</v>
      </c>
      <c r="BA4" s="482"/>
      <c r="BB4" s="482"/>
      <c r="BC4" s="482"/>
      <c r="BD4" s="482"/>
      <c r="BE4" s="482"/>
      <c r="BF4" s="483"/>
      <c r="BG4" s="483"/>
      <c r="BH4" s="483"/>
      <c r="BI4" s="483"/>
      <c r="BJ4" s="483"/>
      <c r="BK4" s="483"/>
      <c r="BL4" s="483"/>
      <c r="BM4" s="483"/>
      <c r="BN4" s="483"/>
      <c r="BO4" s="481" t="s">
        <v>452</v>
      </c>
      <c r="BP4" s="481"/>
      <c r="BQ4" s="481"/>
      <c r="BR4" s="484" t="s">
        <v>453</v>
      </c>
      <c r="BS4" s="484"/>
      <c r="BT4" s="484"/>
      <c r="BU4" s="482" t="s">
        <v>6</v>
      </c>
      <c r="BV4" s="482"/>
      <c r="BW4" s="482"/>
      <c r="BX4" s="482"/>
      <c r="BY4" s="482"/>
      <c r="BZ4" s="482"/>
      <c r="CA4" s="483"/>
      <c r="CB4" s="483"/>
      <c r="CC4" s="483"/>
      <c r="CD4" s="483"/>
      <c r="CE4" s="483"/>
      <c r="CF4" s="483"/>
      <c r="CG4" s="483"/>
      <c r="CH4" s="483"/>
      <c r="CI4" s="483"/>
      <c r="CJ4" s="481" t="s">
        <v>450</v>
      </c>
      <c r="CK4" s="481"/>
      <c r="CL4" s="481"/>
      <c r="CM4" s="484" t="s">
        <v>451</v>
      </c>
      <c r="CN4" s="484"/>
      <c r="CO4" s="484"/>
      <c r="CP4" s="482" t="s">
        <v>6</v>
      </c>
      <c r="CQ4" s="482"/>
      <c r="CR4" s="482"/>
      <c r="CS4" s="482"/>
      <c r="CT4" s="482"/>
      <c r="CU4" s="482"/>
      <c r="CV4" s="483"/>
      <c r="CW4" s="483"/>
      <c r="CX4" s="483"/>
      <c r="CY4" s="483"/>
      <c r="CZ4" s="483"/>
      <c r="DA4" s="483"/>
      <c r="DB4" s="483"/>
      <c r="DC4" s="483"/>
      <c r="DD4" s="483"/>
    </row>
    <row r="5" spans="1:140" ht="45.75" customHeight="1" x14ac:dyDescent="0.25">
      <c r="A5" s="481"/>
      <c r="B5" s="481"/>
      <c r="C5" s="481"/>
      <c r="D5" s="481"/>
      <c r="E5" s="481"/>
      <c r="F5" s="481"/>
      <c r="G5" s="484"/>
      <c r="H5" s="484"/>
      <c r="I5" s="484"/>
      <c r="J5" s="484" t="s">
        <v>390</v>
      </c>
      <c r="K5" s="484"/>
      <c r="L5" s="484"/>
      <c r="M5" s="484" t="s">
        <v>397</v>
      </c>
      <c r="N5" s="484"/>
      <c r="O5" s="484"/>
      <c r="P5" s="483"/>
      <c r="Q5" s="483"/>
      <c r="R5" s="483"/>
      <c r="S5" s="483" t="s">
        <v>196</v>
      </c>
      <c r="T5" s="483"/>
      <c r="U5" s="483"/>
      <c r="V5" s="483" t="s">
        <v>196</v>
      </c>
      <c r="W5" s="483"/>
      <c r="X5" s="483"/>
      <c r="Y5" s="481"/>
      <c r="Z5" s="481"/>
      <c r="AA5" s="481"/>
      <c r="AB5" s="484"/>
      <c r="AC5" s="484"/>
      <c r="AD5" s="484"/>
      <c r="AE5" s="484" t="s">
        <v>390</v>
      </c>
      <c r="AF5" s="484"/>
      <c r="AG5" s="484"/>
      <c r="AH5" s="484"/>
      <c r="AI5" s="484"/>
      <c r="AJ5" s="484"/>
      <c r="AK5" s="483"/>
      <c r="AL5" s="483"/>
      <c r="AM5" s="483"/>
      <c r="AN5" s="483" t="s">
        <v>196</v>
      </c>
      <c r="AO5" s="483"/>
      <c r="AP5" s="483"/>
      <c r="AQ5" s="483" t="s">
        <v>196</v>
      </c>
      <c r="AR5" s="483"/>
      <c r="AS5" s="483"/>
      <c r="AT5" s="481"/>
      <c r="AU5" s="481"/>
      <c r="AV5" s="481"/>
      <c r="AW5" s="484"/>
      <c r="AX5" s="484"/>
      <c r="AY5" s="484"/>
      <c r="AZ5" s="484" t="s">
        <v>390</v>
      </c>
      <c r="BA5" s="484"/>
      <c r="BB5" s="484"/>
      <c r="BC5" s="484" t="s">
        <v>397</v>
      </c>
      <c r="BD5" s="484"/>
      <c r="BE5" s="484"/>
      <c r="BF5" s="483"/>
      <c r="BG5" s="483"/>
      <c r="BH5" s="483"/>
      <c r="BI5" s="483" t="s">
        <v>196</v>
      </c>
      <c r="BJ5" s="483"/>
      <c r="BK5" s="483"/>
      <c r="BL5" s="483" t="s">
        <v>196</v>
      </c>
      <c r="BM5" s="483"/>
      <c r="BN5" s="483"/>
      <c r="BO5" s="481"/>
      <c r="BP5" s="481"/>
      <c r="BQ5" s="481"/>
      <c r="BR5" s="484"/>
      <c r="BS5" s="484"/>
      <c r="BT5" s="484"/>
      <c r="BU5" s="484" t="s">
        <v>390</v>
      </c>
      <c r="BV5" s="484"/>
      <c r="BW5" s="484"/>
      <c r="BX5" s="484" t="s">
        <v>397</v>
      </c>
      <c r="BY5" s="484"/>
      <c r="BZ5" s="484"/>
      <c r="CA5" s="483"/>
      <c r="CB5" s="483"/>
      <c r="CC5" s="483"/>
      <c r="CD5" s="483" t="s">
        <v>196</v>
      </c>
      <c r="CE5" s="483"/>
      <c r="CF5" s="483"/>
      <c r="CG5" s="483" t="s">
        <v>196</v>
      </c>
      <c r="CH5" s="483"/>
      <c r="CI5" s="483"/>
      <c r="CJ5" s="481"/>
      <c r="CK5" s="481"/>
      <c r="CL5" s="481"/>
      <c r="CM5" s="484"/>
      <c r="CN5" s="484"/>
      <c r="CO5" s="484"/>
      <c r="CP5" s="484" t="s">
        <v>390</v>
      </c>
      <c r="CQ5" s="484"/>
      <c r="CR5" s="484"/>
      <c r="CS5" s="484" t="s">
        <v>397</v>
      </c>
      <c r="CT5" s="484"/>
      <c r="CU5" s="484"/>
      <c r="CV5" s="483"/>
      <c r="CW5" s="483"/>
      <c r="CX5" s="483"/>
      <c r="CY5" s="483" t="s">
        <v>196</v>
      </c>
      <c r="CZ5" s="483"/>
      <c r="DA5" s="483"/>
      <c r="DB5" s="483" t="s">
        <v>196</v>
      </c>
      <c r="DC5" s="483"/>
      <c r="DD5" s="483"/>
    </row>
    <row r="6" spans="1:140" x14ac:dyDescent="0.25">
      <c r="A6" s="481"/>
      <c r="B6" s="481"/>
      <c r="C6" s="481"/>
      <c r="D6" s="421" t="s">
        <v>43</v>
      </c>
      <c r="E6" s="421" t="s">
        <v>44</v>
      </c>
      <c r="F6" s="421" t="s">
        <v>3</v>
      </c>
      <c r="G6" s="421" t="s">
        <v>43</v>
      </c>
      <c r="H6" s="421" t="s">
        <v>44</v>
      </c>
      <c r="I6" s="421" t="s">
        <v>3</v>
      </c>
      <c r="J6" s="421" t="s">
        <v>43</v>
      </c>
      <c r="K6" s="421" t="s">
        <v>44</v>
      </c>
      <c r="L6" s="421" t="s">
        <v>3</v>
      </c>
      <c r="M6" s="421" t="s">
        <v>43</v>
      </c>
      <c r="N6" s="421" t="s">
        <v>44</v>
      </c>
      <c r="O6" s="421" t="s">
        <v>3</v>
      </c>
      <c r="P6" s="382" t="s">
        <v>43</v>
      </c>
      <c r="Q6" s="382" t="s">
        <v>44</v>
      </c>
      <c r="R6" s="382" t="s">
        <v>3</v>
      </c>
      <c r="S6" s="382" t="s">
        <v>43</v>
      </c>
      <c r="T6" s="382" t="s">
        <v>44</v>
      </c>
      <c r="U6" s="382" t="s">
        <v>3</v>
      </c>
      <c r="V6" s="382" t="s">
        <v>43</v>
      </c>
      <c r="W6" s="382" t="s">
        <v>44</v>
      </c>
      <c r="X6" s="382" t="s">
        <v>3</v>
      </c>
      <c r="Y6" s="421" t="s">
        <v>43</v>
      </c>
      <c r="Z6" s="421" t="s">
        <v>44</v>
      </c>
      <c r="AA6" s="421" t="s">
        <v>3</v>
      </c>
      <c r="AB6" s="421" t="s">
        <v>43</v>
      </c>
      <c r="AC6" s="421" t="s">
        <v>44</v>
      </c>
      <c r="AD6" s="421" t="s">
        <v>3</v>
      </c>
      <c r="AE6" s="421" t="s">
        <v>43</v>
      </c>
      <c r="AF6" s="421" t="s">
        <v>44</v>
      </c>
      <c r="AG6" s="421" t="s">
        <v>3</v>
      </c>
      <c r="AH6" s="421" t="s">
        <v>43</v>
      </c>
      <c r="AI6" s="421" t="s">
        <v>44</v>
      </c>
      <c r="AJ6" s="421" t="s">
        <v>3</v>
      </c>
      <c r="AK6" s="382" t="s">
        <v>43</v>
      </c>
      <c r="AL6" s="382" t="s">
        <v>44</v>
      </c>
      <c r="AM6" s="382" t="s">
        <v>3</v>
      </c>
      <c r="AN6" s="382" t="s">
        <v>43</v>
      </c>
      <c r="AO6" s="382" t="s">
        <v>44</v>
      </c>
      <c r="AP6" s="382" t="s">
        <v>3</v>
      </c>
      <c r="AQ6" s="382" t="s">
        <v>43</v>
      </c>
      <c r="AR6" s="382" t="s">
        <v>44</v>
      </c>
      <c r="AS6" s="382" t="s">
        <v>3</v>
      </c>
      <c r="AT6" s="421" t="s">
        <v>43</v>
      </c>
      <c r="AU6" s="421" t="s">
        <v>44</v>
      </c>
      <c r="AV6" s="421" t="s">
        <v>3</v>
      </c>
      <c r="AW6" s="421" t="s">
        <v>43</v>
      </c>
      <c r="AX6" s="421" t="s">
        <v>44</v>
      </c>
      <c r="AY6" s="421" t="s">
        <v>3</v>
      </c>
      <c r="AZ6" s="421" t="s">
        <v>43</v>
      </c>
      <c r="BA6" s="421" t="s">
        <v>44</v>
      </c>
      <c r="BB6" s="421" t="s">
        <v>3</v>
      </c>
      <c r="BC6" s="421" t="s">
        <v>43</v>
      </c>
      <c r="BD6" s="421" t="s">
        <v>44</v>
      </c>
      <c r="BE6" s="421" t="s">
        <v>3</v>
      </c>
      <c r="BF6" s="382" t="s">
        <v>43</v>
      </c>
      <c r="BG6" s="382" t="s">
        <v>44</v>
      </c>
      <c r="BH6" s="382" t="s">
        <v>3</v>
      </c>
      <c r="BI6" s="382" t="s">
        <v>43</v>
      </c>
      <c r="BJ6" s="382" t="s">
        <v>44</v>
      </c>
      <c r="BK6" s="382" t="s">
        <v>3</v>
      </c>
      <c r="BL6" s="382" t="s">
        <v>43</v>
      </c>
      <c r="BM6" s="382" t="s">
        <v>44</v>
      </c>
      <c r="BN6" s="382" t="s">
        <v>3</v>
      </c>
      <c r="BO6" s="421" t="s">
        <v>43</v>
      </c>
      <c r="BP6" s="421" t="s">
        <v>44</v>
      </c>
      <c r="BQ6" s="421" t="s">
        <v>3</v>
      </c>
      <c r="BR6" s="421" t="s">
        <v>43</v>
      </c>
      <c r="BS6" s="421" t="s">
        <v>44</v>
      </c>
      <c r="BT6" s="421" t="s">
        <v>3</v>
      </c>
      <c r="BU6" s="421" t="s">
        <v>43</v>
      </c>
      <c r="BV6" s="421" t="s">
        <v>44</v>
      </c>
      <c r="BW6" s="421" t="s">
        <v>3</v>
      </c>
      <c r="BX6" s="421" t="s">
        <v>43</v>
      </c>
      <c r="BY6" s="421" t="s">
        <v>44</v>
      </c>
      <c r="BZ6" s="421" t="s">
        <v>3</v>
      </c>
      <c r="CA6" s="382" t="s">
        <v>43</v>
      </c>
      <c r="CB6" s="382" t="s">
        <v>44</v>
      </c>
      <c r="CC6" s="382" t="s">
        <v>3</v>
      </c>
      <c r="CD6" s="382" t="s">
        <v>43</v>
      </c>
      <c r="CE6" s="382" t="s">
        <v>44</v>
      </c>
      <c r="CF6" s="382" t="s">
        <v>3</v>
      </c>
      <c r="CG6" s="382" t="s">
        <v>43</v>
      </c>
      <c r="CH6" s="382" t="s">
        <v>44</v>
      </c>
      <c r="CI6" s="382" t="s">
        <v>3</v>
      </c>
      <c r="CJ6" s="421" t="s">
        <v>43</v>
      </c>
      <c r="CK6" s="421" t="s">
        <v>44</v>
      </c>
      <c r="CL6" s="421" t="s">
        <v>3</v>
      </c>
      <c r="CM6" s="421" t="s">
        <v>43</v>
      </c>
      <c r="CN6" s="421" t="s">
        <v>44</v>
      </c>
      <c r="CO6" s="421" t="s">
        <v>3</v>
      </c>
      <c r="CP6" s="421" t="s">
        <v>43</v>
      </c>
      <c r="CQ6" s="421" t="s">
        <v>44</v>
      </c>
      <c r="CR6" s="421" t="s">
        <v>3</v>
      </c>
      <c r="CS6" s="421" t="s">
        <v>43</v>
      </c>
      <c r="CT6" s="421" t="s">
        <v>44</v>
      </c>
      <c r="CU6" s="421" t="s">
        <v>3</v>
      </c>
      <c r="CV6" s="382" t="s">
        <v>43</v>
      </c>
      <c r="CW6" s="382" t="s">
        <v>44</v>
      </c>
      <c r="CX6" s="382" t="s">
        <v>3</v>
      </c>
      <c r="CY6" s="382" t="s">
        <v>43</v>
      </c>
      <c r="CZ6" s="382" t="s">
        <v>44</v>
      </c>
      <c r="DA6" s="382" t="s">
        <v>3</v>
      </c>
      <c r="DB6" s="382" t="s">
        <v>43</v>
      </c>
      <c r="DC6" s="382" t="s">
        <v>44</v>
      </c>
      <c r="DD6" s="382" t="s">
        <v>3</v>
      </c>
    </row>
    <row r="7" spans="1:140" ht="31.5" x14ac:dyDescent="0.25">
      <c r="A7" s="423">
        <v>1</v>
      </c>
      <c r="B7" s="486" t="s">
        <v>357</v>
      </c>
      <c r="C7" s="401" t="s">
        <v>143</v>
      </c>
      <c r="D7" s="391">
        <v>44040</v>
      </c>
      <c r="E7" s="391">
        <v>39731</v>
      </c>
      <c r="F7" s="391">
        <v>83771</v>
      </c>
      <c r="G7" s="391">
        <v>43329</v>
      </c>
      <c r="H7" s="391">
        <v>39184</v>
      </c>
      <c r="I7" s="391">
        <v>82513</v>
      </c>
      <c r="J7" s="391">
        <v>37532</v>
      </c>
      <c r="K7" s="391">
        <v>34184</v>
      </c>
      <c r="L7" s="391">
        <v>71716</v>
      </c>
      <c r="M7" s="389">
        <v>0.86620969789286617</v>
      </c>
      <c r="N7" s="389">
        <v>0.87239689669252751</v>
      </c>
      <c r="O7" s="389">
        <v>0.86914789184734531</v>
      </c>
      <c r="P7" s="391">
        <v>37532</v>
      </c>
      <c r="Q7" s="391">
        <v>34184</v>
      </c>
      <c r="R7" s="391">
        <v>71716</v>
      </c>
      <c r="S7" s="391">
        <v>20420</v>
      </c>
      <c r="T7" s="391">
        <v>20093</v>
      </c>
      <c r="U7" s="391">
        <v>40513</v>
      </c>
      <c r="V7" s="389">
        <v>0.54406906106788877</v>
      </c>
      <c r="W7" s="389">
        <v>0.58778960917388257</v>
      </c>
      <c r="X7" s="389">
        <v>0.56490880696078982</v>
      </c>
      <c r="Y7" s="391">
        <v>12515</v>
      </c>
      <c r="Z7" s="391">
        <v>15765</v>
      </c>
      <c r="AA7" s="391">
        <v>28280</v>
      </c>
      <c r="AB7" s="391">
        <v>12229</v>
      </c>
      <c r="AC7" s="391">
        <v>15440</v>
      </c>
      <c r="AD7" s="391">
        <v>27669</v>
      </c>
      <c r="AE7" s="391">
        <v>8395</v>
      </c>
      <c r="AF7" s="391">
        <v>11416</v>
      </c>
      <c r="AG7" s="391">
        <v>19811</v>
      </c>
      <c r="AH7" s="389">
        <v>0.68648295036388907</v>
      </c>
      <c r="AI7" s="389">
        <v>0.73937823834196892</v>
      </c>
      <c r="AJ7" s="389">
        <v>0.71599985543387912</v>
      </c>
      <c r="AK7" s="391">
        <v>8395</v>
      </c>
      <c r="AL7" s="391">
        <v>11416</v>
      </c>
      <c r="AM7" s="391">
        <v>19811</v>
      </c>
      <c r="AN7" s="391">
        <v>2646</v>
      </c>
      <c r="AO7" s="391">
        <v>3956</v>
      </c>
      <c r="AP7" s="391">
        <v>6602</v>
      </c>
      <c r="AQ7" s="389">
        <v>0.31518761167361525</v>
      </c>
      <c r="AR7" s="389">
        <v>0.346531184302733</v>
      </c>
      <c r="AS7" s="389">
        <v>0.33324920498712834</v>
      </c>
      <c r="AT7" s="391">
        <v>64</v>
      </c>
      <c r="AU7" s="391">
        <v>70</v>
      </c>
      <c r="AV7" s="391">
        <v>134</v>
      </c>
      <c r="AW7" s="391">
        <v>64</v>
      </c>
      <c r="AX7" s="391">
        <v>70</v>
      </c>
      <c r="AY7" s="391">
        <v>134</v>
      </c>
      <c r="AZ7" s="391">
        <v>58</v>
      </c>
      <c r="BA7" s="391">
        <v>66</v>
      </c>
      <c r="BB7" s="391">
        <v>124</v>
      </c>
      <c r="BC7" s="389">
        <v>0.90625</v>
      </c>
      <c r="BD7" s="389">
        <v>0.94285714285714284</v>
      </c>
      <c r="BE7" s="389">
        <v>0.92537313432835822</v>
      </c>
      <c r="BF7" s="391">
        <v>58</v>
      </c>
      <c r="BG7" s="391">
        <v>66</v>
      </c>
      <c r="BH7" s="391">
        <v>124</v>
      </c>
      <c r="BI7" s="391">
        <v>40</v>
      </c>
      <c r="BJ7" s="391">
        <v>53</v>
      </c>
      <c r="BK7" s="391">
        <v>93</v>
      </c>
      <c r="BL7" s="389">
        <v>0.68965517241379315</v>
      </c>
      <c r="BM7" s="389">
        <v>0.80303030303030298</v>
      </c>
      <c r="BN7" s="389">
        <v>0.75</v>
      </c>
      <c r="BO7" s="391">
        <v>22169</v>
      </c>
      <c r="BP7" s="391">
        <v>16390</v>
      </c>
      <c r="BQ7" s="391">
        <v>38559</v>
      </c>
      <c r="BR7" s="391">
        <v>21866</v>
      </c>
      <c r="BS7" s="391">
        <v>16236</v>
      </c>
      <c r="BT7" s="391">
        <v>38102</v>
      </c>
      <c r="BU7" s="391">
        <v>20325</v>
      </c>
      <c r="BV7" s="391">
        <v>15470</v>
      </c>
      <c r="BW7" s="391">
        <v>35795</v>
      </c>
      <c r="BX7" s="389">
        <v>0.92952529040519527</v>
      </c>
      <c r="BY7" s="389">
        <v>0.95282089184528207</v>
      </c>
      <c r="BZ7" s="389">
        <v>0.93945199727048445</v>
      </c>
      <c r="CA7" s="391">
        <v>20325</v>
      </c>
      <c r="CB7" s="391">
        <v>15470</v>
      </c>
      <c r="CC7" s="391">
        <v>35795</v>
      </c>
      <c r="CD7" s="391">
        <v>11644</v>
      </c>
      <c r="CE7" s="391">
        <v>10501</v>
      </c>
      <c r="CF7" s="391">
        <v>22145</v>
      </c>
      <c r="CG7" s="389">
        <v>0.57289052890528902</v>
      </c>
      <c r="CH7" s="389">
        <v>0.67879767291532001</v>
      </c>
      <c r="CI7" s="389">
        <v>0.61866182427713368</v>
      </c>
      <c r="CJ7" s="391">
        <v>9292</v>
      </c>
      <c r="CK7" s="391">
        <v>7506</v>
      </c>
      <c r="CL7" s="391">
        <v>16798</v>
      </c>
      <c r="CM7" s="391">
        <v>9170</v>
      </c>
      <c r="CN7" s="391">
        <v>7438</v>
      </c>
      <c r="CO7" s="391">
        <v>16608</v>
      </c>
      <c r="CP7" s="391">
        <v>8754</v>
      </c>
      <c r="CQ7" s="391">
        <v>7232</v>
      </c>
      <c r="CR7" s="391">
        <v>15986</v>
      </c>
      <c r="CS7" s="389">
        <v>0.95463467829880044</v>
      </c>
      <c r="CT7" s="389">
        <v>0.97230438289862864</v>
      </c>
      <c r="CU7" s="389">
        <v>0.96254816955684008</v>
      </c>
      <c r="CV7" s="391">
        <v>8754</v>
      </c>
      <c r="CW7" s="391">
        <v>7232</v>
      </c>
      <c r="CX7" s="391">
        <v>15986</v>
      </c>
      <c r="CY7" s="391">
        <v>6090</v>
      </c>
      <c r="CZ7" s="391">
        <v>5583</v>
      </c>
      <c r="DA7" s="391">
        <v>11673</v>
      </c>
      <c r="DB7" s="389">
        <v>0.6956819739547635</v>
      </c>
      <c r="DC7" s="389">
        <v>0.77198561946902655</v>
      </c>
      <c r="DD7" s="389">
        <v>0.73020142624796702</v>
      </c>
    </row>
    <row r="8" spans="1:140" ht="47.25" x14ac:dyDescent="0.25">
      <c r="A8" s="423">
        <v>2</v>
      </c>
      <c r="B8" s="486"/>
      <c r="C8" s="401" t="s">
        <v>215</v>
      </c>
      <c r="D8" s="391">
        <v>4215</v>
      </c>
      <c r="E8" s="391">
        <v>3773</v>
      </c>
      <c r="F8" s="391">
        <v>7988</v>
      </c>
      <c r="G8" s="391">
        <v>4204</v>
      </c>
      <c r="H8" s="391">
        <v>3771</v>
      </c>
      <c r="I8" s="391">
        <v>7975</v>
      </c>
      <c r="J8" s="391">
        <v>4203</v>
      </c>
      <c r="K8" s="391">
        <v>3768</v>
      </c>
      <c r="L8" s="391">
        <v>7971</v>
      </c>
      <c r="M8" s="389">
        <v>0.99976213130352043</v>
      </c>
      <c r="N8" s="389">
        <v>0.99920445505171041</v>
      </c>
      <c r="O8" s="389">
        <v>0.99949843260188087</v>
      </c>
      <c r="P8" s="391">
        <v>4203</v>
      </c>
      <c r="Q8" s="391">
        <v>3768</v>
      </c>
      <c r="R8" s="391">
        <v>7971</v>
      </c>
      <c r="S8" s="391">
        <v>3519</v>
      </c>
      <c r="T8" s="391">
        <v>3367</v>
      </c>
      <c r="U8" s="391">
        <v>6886</v>
      </c>
      <c r="V8" s="389">
        <v>0.83725910064239828</v>
      </c>
      <c r="W8" s="389">
        <v>0.89357749469214443</v>
      </c>
      <c r="X8" s="389">
        <v>0.86388157069376492</v>
      </c>
      <c r="Y8" s="391">
        <v>70</v>
      </c>
      <c r="Z8" s="391">
        <v>205</v>
      </c>
      <c r="AA8" s="391">
        <v>275</v>
      </c>
      <c r="AB8" s="391">
        <v>70</v>
      </c>
      <c r="AC8" s="391">
        <v>205</v>
      </c>
      <c r="AD8" s="391">
        <v>275</v>
      </c>
      <c r="AE8" s="391">
        <v>70</v>
      </c>
      <c r="AF8" s="391">
        <v>205</v>
      </c>
      <c r="AG8" s="391">
        <v>275</v>
      </c>
      <c r="AH8" s="389">
        <v>1</v>
      </c>
      <c r="AI8" s="389">
        <v>1</v>
      </c>
      <c r="AJ8" s="389">
        <v>1</v>
      </c>
      <c r="AK8" s="391">
        <v>70</v>
      </c>
      <c r="AL8" s="391">
        <v>205</v>
      </c>
      <c r="AM8" s="391">
        <v>275</v>
      </c>
      <c r="AN8" s="391">
        <v>55</v>
      </c>
      <c r="AO8" s="391">
        <v>188</v>
      </c>
      <c r="AP8" s="391">
        <v>243</v>
      </c>
      <c r="AQ8" s="389">
        <v>0.7857142857142857</v>
      </c>
      <c r="AR8" s="389">
        <v>0.91707317073170735</v>
      </c>
      <c r="AS8" s="389">
        <v>0.88363636363636366</v>
      </c>
      <c r="AT8" s="391">
        <v>61</v>
      </c>
      <c r="AU8" s="391">
        <v>21</v>
      </c>
      <c r="AV8" s="391">
        <v>82</v>
      </c>
      <c r="AW8" s="391">
        <v>61</v>
      </c>
      <c r="AX8" s="391">
        <v>21</v>
      </c>
      <c r="AY8" s="391">
        <v>82</v>
      </c>
      <c r="AZ8" s="391">
        <v>61</v>
      </c>
      <c r="BA8" s="391">
        <v>21</v>
      </c>
      <c r="BB8" s="391">
        <v>82</v>
      </c>
      <c r="BC8" s="389">
        <v>1</v>
      </c>
      <c r="BD8" s="389">
        <v>1</v>
      </c>
      <c r="BE8" s="389">
        <v>1</v>
      </c>
      <c r="BF8" s="391">
        <v>61</v>
      </c>
      <c r="BG8" s="391">
        <v>21</v>
      </c>
      <c r="BH8" s="391">
        <v>82</v>
      </c>
      <c r="BI8" s="391">
        <v>59</v>
      </c>
      <c r="BJ8" s="391">
        <v>19</v>
      </c>
      <c r="BK8" s="391">
        <v>78</v>
      </c>
      <c r="BL8" s="389">
        <v>0.96721311475409832</v>
      </c>
      <c r="BM8" s="389">
        <v>0.90476190476190477</v>
      </c>
      <c r="BN8" s="389">
        <v>0.95121951219512191</v>
      </c>
      <c r="BO8" s="391">
        <v>4084</v>
      </c>
      <c r="BP8" s="391">
        <v>3547</v>
      </c>
      <c r="BQ8" s="391">
        <v>7631</v>
      </c>
      <c r="BR8" s="391">
        <v>4073</v>
      </c>
      <c r="BS8" s="391">
        <v>3545</v>
      </c>
      <c r="BT8" s="391">
        <v>7618</v>
      </c>
      <c r="BU8" s="391">
        <v>4072</v>
      </c>
      <c r="BV8" s="391">
        <v>3542</v>
      </c>
      <c r="BW8" s="391">
        <v>7614</v>
      </c>
      <c r="BX8" s="389">
        <v>0.999754480726737</v>
      </c>
      <c r="BY8" s="389">
        <v>0.99915373765867421</v>
      </c>
      <c r="BZ8" s="389">
        <v>0.99947492780257285</v>
      </c>
      <c r="CA8" s="391">
        <v>4072</v>
      </c>
      <c r="CB8" s="391">
        <v>3542</v>
      </c>
      <c r="CC8" s="391">
        <v>7614</v>
      </c>
      <c r="CD8" s="391">
        <v>3405</v>
      </c>
      <c r="CE8" s="391">
        <v>3160</v>
      </c>
      <c r="CF8" s="391">
        <v>6565</v>
      </c>
      <c r="CG8" s="389">
        <v>0.83619842829076618</v>
      </c>
      <c r="CH8" s="389">
        <v>0.89215132693393562</v>
      </c>
      <c r="CI8" s="389">
        <v>0.86222747570265301</v>
      </c>
      <c r="CJ8" s="390"/>
      <c r="CK8" s="390"/>
      <c r="CL8" s="390"/>
      <c r="CM8" s="390"/>
      <c r="CN8" s="390"/>
      <c r="CO8" s="390"/>
      <c r="CP8" s="390"/>
      <c r="CQ8" s="390"/>
      <c r="CR8" s="390"/>
      <c r="CS8" s="390"/>
      <c r="CT8" s="390"/>
      <c r="CU8" s="390"/>
      <c r="CV8" s="390"/>
      <c r="CW8" s="390"/>
      <c r="CX8" s="390"/>
      <c r="CY8" s="390"/>
      <c r="CZ8" s="390"/>
      <c r="DA8" s="390"/>
      <c r="DB8" s="390"/>
      <c r="DC8" s="390"/>
      <c r="DD8" s="390"/>
    </row>
    <row r="9" spans="1:140" s="376" customFormat="1" ht="42" customHeight="1" x14ac:dyDescent="0.25">
      <c r="A9" s="423">
        <v>3</v>
      </c>
      <c r="B9" s="464" t="s">
        <v>358</v>
      </c>
      <c r="C9" s="401" t="s">
        <v>133</v>
      </c>
      <c r="D9" s="391">
        <v>16882</v>
      </c>
      <c r="E9" s="391">
        <v>16903</v>
      </c>
      <c r="F9" s="391">
        <v>33785</v>
      </c>
      <c r="G9" s="391">
        <v>16459</v>
      </c>
      <c r="H9" s="391">
        <v>16630</v>
      </c>
      <c r="I9" s="391">
        <v>33089</v>
      </c>
      <c r="J9" s="391">
        <v>13972</v>
      </c>
      <c r="K9" s="391">
        <v>14614</v>
      </c>
      <c r="L9" s="391">
        <v>28586</v>
      </c>
      <c r="M9" s="389">
        <v>0.84889725985782849</v>
      </c>
      <c r="N9" s="389">
        <v>0.87877330126277808</v>
      </c>
      <c r="O9" s="389">
        <v>0.86391247846716435</v>
      </c>
      <c r="P9" s="391">
        <v>13972</v>
      </c>
      <c r="Q9" s="391">
        <v>14614</v>
      </c>
      <c r="R9" s="391">
        <v>28586</v>
      </c>
      <c r="S9" s="391">
        <v>6474</v>
      </c>
      <c r="T9" s="391">
        <v>7737</v>
      </c>
      <c r="U9" s="391">
        <v>14211</v>
      </c>
      <c r="V9" s="389">
        <v>0.46335528199255654</v>
      </c>
      <c r="W9" s="389">
        <v>0.5294238401532777</v>
      </c>
      <c r="X9" s="389">
        <v>0.49713146295389349</v>
      </c>
      <c r="Y9" s="413">
        <v>13728</v>
      </c>
      <c r="Z9" s="413">
        <v>14601</v>
      </c>
      <c r="AA9" s="413">
        <v>28329</v>
      </c>
      <c r="AB9" s="413">
        <v>13348</v>
      </c>
      <c r="AC9" s="413">
        <v>14357</v>
      </c>
      <c r="AD9" s="391">
        <v>27705</v>
      </c>
      <c r="AE9" s="391">
        <v>11059</v>
      </c>
      <c r="AF9" s="391">
        <v>12459</v>
      </c>
      <c r="AG9" s="391">
        <v>23518</v>
      </c>
      <c r="AH9" s="389">
        <v>0.82851363500149833</v>
      </c>
      <c r="AI9" s="389">
        <v>0.867799679598802</v>
      </c>
      <c r="AJ9" s="389">
        <v>0.84887204475726408</v>
      </c>
      <c r="AK9" s="391">
        <v>11059</v>
      </c>
      <c r="AL9" s="391">
        <v>12459</v>
      </c>
      <c r="AM9" s="391">
        <v>23518</v>
      </c>
      <c r="AN9" s="391">
        <v>4414</v>
      </c>
      <c r="AO9" s="391">
        <v>6015</v>
      </c>
      <c r="AP9" s="391">
        <v>10429</v>
      </c>
      <c r="AQ9" s="389">
        <v>0.39913192874581788</v>
      </c>
      <c r="AR9" s="389">
        <v>0.48278352997832891</v>
      </c>
      <c r="AS9" s="389">
        <v>0.44344757207245517</v>
      </c>
      <c r="AT9" s="391">
        <v>291</v>
      </c>
      <c r="AU9" s="391">
        <v>307</v>
      </c>
      <c r="AV9" s="391">
        <v>598</v>
      </c>
      <c r="AW9" s="391">
        <v>277</v>
      </c>
      <c r="AX9" s="391">
        <v>293</v>
      </c>
      <c r="AY9" s="391">
        <v>570</v>
      </c>
      <c r="AZ9" s="391">
        <v>203</v>
      </c>
      <c r="BA9" s="391">
        <v>217</v>
      </c>
      <c r="BB9" s="391">
        <v>420</v>
      </c>
      <c r="BC9" s="389">
        <v>0.73285198555956677</v>
      </c>
      <c r="BD9" s="389">
        <v>0.74061433447098979</v>
      </c>
      <c r="BE9" s="389">
        <v>0.73684210526315785</v>
      </c>
      <c r="BF9" s="391">
        <v>203</v>
      </c>
      <c r="BG9" s="391">
        <v>217</v>
      </c>
      <c r="BH9" s="391">
        <v>420</v>
      </c>
      <c r="BI9" s="391">
        <v>60</v>
      </c>
      <c r="BJ9" s="391">
        <v>85</v>
      </c>
      <c r="BK9" s="391">
        <v>145</v>
      </c>
      <c r="BL9" s="389">
        <v>0.29556650246305421</v>
      </c>
      <c r="BM9" s="389">
        <v>0.39170506912442399</v>
      </c>
      <c r="BN9" s="389">
        <v>0.34523809523809523</v>
      </c>
      <c r="BO9" s="391">
        <v>2863</v>
      </c>
      <c r="BP9" s="391">
        <v>1995</v>
      </c>
      <c r="BQ9" s="391">
        <v>4858</v>
      </c>
      <c r="BR9" s="391">
        <v>2834</v>
      </c>
      <c r="BS9" s="391">
        <v>1980</v>
      </c>
      <c r="BT9" s="391">
        <v>4814</v>
      </c>
      <c r="BU9" s="391">
        <v>2710</v>
      </c>
      <c r="BV9" s="391">
        <v>1938</v>
      </c>
      <c r="BW9" s="391">
        <v>4648</v>
      </c>
      <c r="BX9" s="389">
        <v>0.95624558927311221</v>
      </c>
      <c r="BY9" s="389">
        <v>0.97878787878787876</v>
      </c>
      <c r="BZ9" s="389">
        <v>0.96551724137931039</v>
      </c>
      <c r="CA9" s="391">
        <v>2710</v>
      </c>
      <c r="CB9" s="391">
        <v>1938</v>
      </c>
      <c r="CC9" s="391">
        <v>4648</v>
      </c>
      <c r="CD9" s="391">
        <v>2000</v>
      </c>
      <c r="CE9" s="391">
        <v>1637</v>
      </c>
      <c r="CF9" s="391">
        <v>3637</v>
      </c>
      <c r="CG9" s="389">
        <v>0.73800738007380073</v>
      </c>
      <c r="CH9" s="389">
        <v>0.84468524251805988</v>
      </c>
      <c r="CI9" s="389">
        <v>0.78248709122203097</v>
      </c>
      <c r="CJ9" s="390"/>
      <c r="CK9" s="390"/>
      <c r="CL9" s="390"/>
      <c r="CM9" s="390"/>
      <c r="CN9" s="390"/>
      <c r="CO9" s="390"/>
      <c r="CP9" s="390"/>
      <c r="CQ9" s="390"/>
      <c r="CR9" s="390"/>
      <c r="CS9" s="390"/>
      <c r="CT9" s="390"/>
      <c r="CU9" s="390"/>
      <c r="CV9" s="390"/>
      <c r="CW9" s="390"/>
      <c r="CX9" s="390"/>
      <c r="CY9" s="390"/>
      <c r="CZ9" s="390"/>
      <c r="DA9" s="390"/>
      <c r="DB9" s="390"/>
      <c r="DC9" s="390"/>
      <c r="DD9" s="390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H9"/>
      <c r="EI9"/>
      <c r="EJ9"/>
    </row>
    <row r="10" spans="1:140" ht="38.25" customHeight="1" x14ac:dyDescent="0.25">
      <c r="A10" s="423">
        <v>4</v>
      </c>
      <c r="B10" s="486" t="s">
        <v>360</v>
      </c>
      <c r="C10" s="401" t="s">
        <v>134</v>
      </c>
      <c r="D10" s="391">
        <v>36845</v>
      </c>
      <c r="E10" s="391">
        <v>38297</v>
      </c>
      <c r="F10" s="391">
        <v>75142</v>
      </c>
      <c r="G10" s="391">
        <v>35453</v>
      </c>
      <c r="H10" s="391">
        <v>37171</v>
      </c>
      <c r="I10" s="391">
        <v>72624</v>
      </c>
      <c r="J10" s="391">
        <v>23380</v>
      </c>
      <c r="K10" s="391">
        <v>24289</v>
      </c>
      <c r="L10" s="391">
        <v>47669</v>
      </c>
      <c r="M10" s="389">
        <v>0.65946464333060673</v>
      </c>
      <c r="N10" s="389">
        <v>0.65343950929488037</v>
      </c>
      <c r="O10" s="389">
        <v>0.65638081075126675</v>
      </c>
      <c r="P10" s="391">
        <v>23380</v>
      </c>
      <c r="Q10" s="391">
        <v>24289</v>
      </c>
      <c r="R10" s="391">
        <v>47669</v>
      </c>
      <c r="S10" s="391">
        <v>4759</v>
      </c>
      <c r="T10" s="391">
        <v>5318</v>
      </c>
      <c r="U10" s="391">
        <v>10077</v>
      </c>
      <c r="V10" s="389">
        <v>0.20355004277159966</v>
      </c>
      <c r="W10" s="389">
        <v>0.2189468483675738</v>
      </c>
      <c r="X10" s="389">
        <v>0.21139524638654053</v>
      </c>
      <c r="Y10" s="391">
        <v>18115</v>
      </c>
      <c r="Z10" s="391">
        <v>20047</v>
      </c>
      <c r="AA10" s="391">
        <v>38162</v>
      </c>
      <c r="AB10" s="391">
        <v>17606</v>
      </c>
      <c r="AC10" s="391">
        <v>19538</v>
      </c>
      <c r="AD10" s="391">
        <v>37144</v>
      </c>
      <c r="AE10" s="391">
        <v>10749</v>
      </c>
      <c r="AF10" s="391">
        <v>12082</v>
      </c>
      <c r="AG10" s="391">
        <v>22831</v>
      </c>
      <c r="AH10" s="389">
        <v>0.61053050096557993</v>
      </c>
      <c r="AI10" s="389">
        <v>0.61838468625243115</v>
      </c>
      <c r="AJ10" s="389">
        <v>0.61466185655825978</v>
      </c>
      <c r="AK10" s="391">
        <v>10749</v>
      </c>
      <c r="AL10" s="391">
        <v>12082</v>
      </c>
      <c r="AM10" s="391">
        <v>22831</v>
      </c>
      <c r="AN10" s="391">
        <v>1608</v>
      </c>
      <c r="AO10" s="391">
        <v>1989</v>
      </c>
      <c r="AP10" s="391">
        <v>3597</v>
      </c>
      <c r="AQ10" s="389">
        <v>0.14959531119173877</v>
      </c>
      <c r="AR10" s="389">
        <v>0.16462506207581526</v>
      </c>
      <c r="AS10" s="389">
        <v>0.15754894660768254</v>
      </c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  <c r="BD10" s="390"/>
      <c r="BE10" s="390"/>
      <c r="BF10" s="390"/>
      <c r="BG10" s="390"/>
      <c r="BH10" s="390"/>
      <c r="BI10" s="390"/>
      <c r="BJ10" s="390"/>
      <c r="BK10" s="390"/>
      <c r="BL10" s="390"/>
      <c r="BM10" s="390"/>
      <c r="BN10" s="390"/>
      <c r="BO10" s="390"/>
      <c r="BP10" s="390"/>
      <c r="BQ10" s="390"/>
      <c r="BR10" s="390"/>
      <c r="BS10" s="390"/>
      <c r="BT10" s="390"/>
      <c r="BU10" s="390"/>
      <c r="BV10" s="390"/>
      <c r="BW10" s="390"/>
      <c r="BX10" s="390"/>
      <c r="BY10" s="390"/>
      <c r="BZ10" s="390"/>
      <c r="CA10" s="390"/>
      <c r="CB10" s="390"/>
      <c r="CC10" s="390"/>
      <c r="CD10" s="390"/>
      <c r="CE10" s="390"/>
      <c r="CF10" s="390"/>
      <c r="CG10" s="390"/>
      <c r="CH10" s="390"/>
      <c r="CI10" s="390"/>
      <c r="CJ10" s="390"/>
      <c r="CK10" s="390"/>
      <c r="CL10" s="390"/>
      <c r="CM10" s="390"/>
      <c r="CN10" s="390"/>
      <c r="CO10" s="390"/>
      <c r="CP10" s="390"/>
      <c r="CQ10" s="390"/>
      <c r="CR10" s="390"/>
      <c r="CS10" s="390"/>
      <c r="CT10" s="390"/>
      <c r="CU10" s="390"/>
      <c r="CV10" s="390"/>
      <c r="CW10" s="390"/>
      <c r="CX10" s="390"/>
      <c r="CY10" s="390"/>
      <c r="CZ10" s="390"/>
      <c r="DA10" s="390"/>
      <c r="DB10" s="390"/>
      <c r="DC10" s="390"/>
      <c r="DD10" s="390"/>
    </row>
    <row r="11" spans="1:140" s="362" customFormat="1" ht="38.25" customHeight="1" x14ac:dyDescent="0.25">
      <c r="A11" s="423">
        <v>5</v>
      </c>
      <c r="B11" s="486"/>
      <c r="C11" s="401" t="s">
        <v>355</v>
      </c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  <c r="AJ11" s="393"/>
      <c r="AK11" s="393"/>
      <c r="AL11" s="393"/>
      <c r="AM11" s="393"/>
      <c r="AN11" s="393"/>
      <c r="AO11" s="393"/>
      <c r="AP11" s="393"/>
      <c r="AQ11" s="393"/>
      <c r="AR11" s="393"/>
      <c r="AS11" s="393"/>
      <c r="AT11" s="390"/>
      <c r="AU11" s="390"/>
      <c r="AV11" s="390"/>
      <c r="AW11" s="390"/>
      <c r="AX11" s="390"/>
      <c r="AY11" s="390"/>
      <c r="AZ11" s="390"/>
      <c r="BA11" s="390"/>
      <c r="BB11" s="390"/>
      <c r="BC11" s="390"/>
      <c r="BD11" s="390"/>
      <c r="BE11" s="390"/>
      <c r="BF11" s="390"/>
      <c r="BG11" s="390"/>
      <c r="BH11" s="390"/>
      <c r="BI11" s="390"/>
      <c r="BJ11" s="390"/>
      <c r="BK11" s="390"/>
      <c r="BL11" s="390"/>
      <c r="BM11" s="390"/>
      <c r="BN11" s="390"/>
      <c r="BO11" s="390"/>
      <c r="BP11" s="390"/>
      <c r="BQ11" s="390"/>
      <c r="BR11" s="390"/>
      <c r="BS11" s="390"/>
      <c r="BT11" s="390"/>
      <c r="BU11" s="390"/>
      <c r="BV11" s="390"/>
      <c r="BW11" s="390"/>
      <c r="BX11" s="390"/>
      <c r="BY11" s="390"/>
      <c r="BZ11" s="390"/>
      <c r="CA11" s="390"/>
      <c r="CB11" s="390"/>
      <c r="CC11" s="390"/>
      <c r="CD11" s="390"/>
      <c r="CE11" s="390"/>
      <c r="CF11" s="390"/>
      <c r="CG11" s="390"/>
      <c r="CH11" s="390"/>
      <c r="CI11" s="390"/>
      <c r="CJ11" s="390"/>
      <c r="CK11" s="390"/>
      <c r="CL11" s="390"/>
      <c r="CM11" s="390"/>
      <c r="CN11" s="390"/>
      <c r="CO11" s="390"/>
      <c r="CP11" s="390"/>
      <c r="CQ11" s="390"/>
      <c r="CR11" s="390"/>
      <c r="CS11" s="390"/>
      <c r="CT11" s="390"/>
      <c r="CU11" s="390"/>
      <c r="CV11" s="390"/>
      <c r="CW11" s="390"/>
      <c r="CX11" s="390"/>
      <c r="CY11" s="390"/>
      <c r="CZ11" s="390"/>
      <c r="DA11" s="390"/>
      <c r="DB11" s="390"/>
      <c r="DC11" s="390"/>
      <c r="DD11" s="390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H11"/>
      <c r="EI11"/>
      <c r="EJ11"/>
    </row>
    <row r="12" spans="1:140" ht="38.25" customHeight="1" x14ac:dyDescent="0.25">
      <c r="A12" s="423">
        <v>6</v>
      </c>
      <c r="B12" s="486" t="s">
        <v>362</v>
      </c>
      <c r="C12" s="401" t="s">
        <v>345</v>
      </c>
      <c r="D12" s="391">
        <v>21933</v>
      </c>
      <c r="E12" s="391">
        <v>21846</v>
      </c>
      <c r="F12" s="391">
        <v>43779</v>
      </c>
      <c r="G12" s="391">
        <v>20269</v>
      </c>
      <c r="H12" s="391">
        <v>20128</v>
      </c>
      <c r="I12" s="391">
        <v>40397</v>
      </c>
      <c r="J12" s="391">
        <v>15595</v>
      </c>
      <c r="K12" s="391">
        <v>15061</v>
      </c>
      <c r="L12" s="391">
        <v>30656</v>
      </c>
      <c r="M12" s="389">
        <v>0.76940154916374759</v>
      </c>
      <c r="N12" s="389">
        <v>0.74826112877583462</v>
      </c>
      <c r="O12" s="389">
        <v>0.75886823278956361</v>
      </c>
      <c r="P12" s="391">
        <v>15595</v>
      </c>
      <c r="Q12" s="391">
        <v>15061</v>
      </c>
      <c r="R12" s="391">
        <v>30656</v>
      </c>
      <c r="S12" s="391">
        <v>4816</v>
      </c>
      <c r="T12" s="391">
        <v>3913</v>
      </c>
      <c r="U12" s="391">
        <v>8729</v>
      </c>
      <c r="V12" s="389">
        <v>0.30881692850272524</v>
      </c>
      <c r="W12" s="389">
        <v>0.25981010557067924</v>
      </c>
      <c r="X12" s="389">
        <v>0.2847403444676409</v>
      </c>
      <c r="Y12" s="391">
        <v>19688</v>
      </c>
      <c r="Z12" s="391">
        <v>20439</v>
      </c>
      <c r="AA12" s="391">
        <v>40127</v>
      </c>
      <c r="AB12" s="391">
        <v>18201</v>
      </c>
      <c r="AC12" s="391">
        <v>18804</v>
      </c>
      <c r="AD12" s="391">
        <v>37005</v>
      </c>
      <c r="AE12" s="391">
        <v>13918</v>
      </c>
      <c r="AF12" s="391">
        <v>14066</v>
      </c>
      <c r="AG12" s="391">
        <v>27984</v>
      </c>
      <c r="AH12" s="389">
        <v>0.76468325916158453</v>
      </c>
      <c r="AI12" s="389">
        <v>0.74803233354605403</v>
      </c>
      <c r="AJ12" s="389">
        <v>0.75622213214430478</v>
      </c>
      <c r="AK12" s="391">
        <v>13918</v>
      </c>
      <c r="AL12" s="391">
        <v>14066</v>
      </c>
      <c r="AM12" s="391">
        <v>27984</v>
      </c>
      <c r="AN12" s="391">
        <v>4138</v>
      </c>
      <c r="AO12" s="391">
        <v>3608</v>
      </c>
      <c r="AP12" s="391">
        <v>7746</v>
      </c>
      <c r="AQ12" s="389">
        <v>0.29731283230349187</v>
      </c>
      <c r="AR12" s="389">
        <v>0.25650504763258924</v>
      </c>
      <c r="AS12" s="389">
        <v>0.27680102915951971</v>
      </c>
      <c r="AT12" s="391">
        <v>2245</v>
      </c>
      <c r="AU12" s="391">
        <v>1407</v>
      </c>
      <c r="AV12" s="391">
        <v>3652</v>
      </c>
      <c r="AW12" s="391">
        <v>2068</v>
      </c>
      <c r="AX12" s="391">
        <v>1324</v>
      </c>
      <c r="AY12" s="391">
        <v>3392</v>
      </c>
      <c r="AZ12" s="391">
        <v>1677</v>
      </c>
      <c r="BA12" s="391">
        <v>995</v>
      </c>
      <c r="BB12" s="391">
        <v>2672</v>
      </c>
      <c r="BC12" s="389">
        <v>0.81092843326885877</v>
      </c>
      <c r="BD12" s="389">
        <v>0.75151057401812693</v>
      </c>
      <c r="BE12" s="389">
        <v>0.78773584905660377</v>
      </c>
      <c r="BF12" s="391">
        <v>1677</v>
      </c>
      <c r="BG12" s="391">
        <v>995</v>
      </c>
      <c r="BH12" s="391">
        <v>2672</v>
      </c>
      <c r="BI12" s="391">
        <v>678</v>
      </c>
      <c r="BJ12" s="391">
        <v>305</v>
      </c>
      <c r="BK12" s="391">
        <v>983</v>
      </c>
      <c r="BL12" s="389">
        <v>0.40429338103756707</v>
      </c>
      <c r="BM12" s="389">
        <v>0.30653266331658291</v>
      </c>
      <c r="BN12" s="389">
        <v>0.36788922155688625</v>
      </c>
      <c r="BO12" s="390"/>
      <c r="BP12" s="390"/>
      <c r="BQ12" s="390"/>
      <c r="BR12" s="390"/>
      <c r="BS12" s="390"/>
      <c r="BT12" s="390"/>
      <c r="BU12" s="390"/>
      <c r="BV12" s="390"/>
      <c r="BW12" s="390"/>
      <c r="BX12" s="390"/>
      <c r="BY12" s="390"/>
      <c r="BZ12" s="390"/>
      <c r="CA12" s="390"/>
      <c r="CB12" s="390"/>
      <c r="CC12" s="390"/>
      <c r="CD12" s="390"/>
      <c r="CE12" s="390"/>
      <c r="CF12" s="390"/>
      <c r="CG12" s="390"/>
      <c r="CH12" s="390"/>
      <c r="CI12" s="390"/>
      <c r="CJ12" s="390"/>
      <c r="CK12" s="390"/>
      <c r="CL12" s="390"/>
      <c r="CM12" s="390"/>
      <c r="CN12" s="390"/>
      <c r="CO12" s="390"/>
      <c r="CP12" s="390"/>
      <c r="CQ12" s="390"/>
      <c r="CR12" s="390"/>
      <c r="CS12" s="390"/>
      <c r="CT12" s="390"/>
      <c r="CU12" s="390"/>
      <c r="CV12" s="390"/>
      <c r="CW12" s="390"/>
      <c r="CX12" s="390"/>
      <c r="CY12" s="390"/>
      <c r="CZ12" s="390"/>
      <c r="DA12" s="390"/>
      <c r="DB12" s="390"/>
      <c r="DC12" s="390"/>
      <c r="DD12" s="390"/>
    </row>
    <row r="13" spans="1:140" s="377" customFormat="1" ht="48.75" customHeight="1" x14ac:dyDescent="0.25">
      <c r="A13" s="423">
        <v>7</v>
      </c>
      <c r="B13" s="486"/>
      <c r="C13" s="401" t="s">
        <v>139</v>
      </c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  <c r="AJ13" s="393"/>
      <c r="AK13" s="393"/>
      <c r="AL13" s="393"/>
      <c r="AM13" s="393"/>
      <c r="AN13" s="393"/>
      <c r="AO13" s="393"/>
      <c r="AP13" s="393"/>
      <c r="AQ13" s="393"/>
      <c r="AR13" s="393"/>
      <c r="AS13" s="393"/>
      <c r="AT13" s="390"/>
      <c r="AU13" s="390"/>
      <c r="AV13" s="390"/>
      <c r="AW13" s="390"/>
      <c r="AX13" s="390"/>
      <c r="AY13" s="390"/>
      <c r="AZ13" s="390"/>
      <c r="BA13" s="390"/>
      <c r="BB13" s="390"/>
      <c r="BC13" s="390"/>
      <c r="BD13" s="390"/>
      <c r="BE13" s="390"/>
      <c r="BF13" s="390"/>
      <c r="BG13" s="390"/>
      <c r="BH13" s="390"/>
      <c r="BI13" s="390"/>
      <c r="BJ13" s="390"/>
      <c r="BK13" s="390"/>
      <c r="BL13" s="390"/>
      <c r="BM13" s="390"/>
      <c r="BN13" s="390"/>
      <c r="BO13" s="393"/>
      <c r="BP13" s="393"/>
      <c r="BQ13" s="393"/>
      <c r="BR13" s="393"/>
      <c r="BS13" s="393"/>
      <c r="BT13" s="393"/>
      <c r="BU13" s="393"/>
      <c r="BV13" s="393"/>
      <c r="BW13" s="393"/>
      <c r="BX13" s="390"/>
      <c r="BY13" s="390"/>
      <c r="BZ13" s="390"/>
      <c r="CA13" s="393"/>
      <c r="CB13" s="393"/>
      <c r="CC13" s="393"/>
      <c r="CD13" s="393"/>
      <c r="CE13" s="393"/>
      <c r="CF13" s="393"/>
      <c r="CG13" s="390"/>
      <c r="CH13" s="390"/>
      <c r="CI13" s="390"/>
      <c r="CJ13" s="390"/>
      <c r="CK13" s="390"/>
      <c r="CL13" s="390"/>
      <c r="CM13" s="390"/>
      <c r="CN13" s="390"/>
      <c r="CO13" s="390"/>
      <c r="CP13" s="390"/>
      <c r="CQ13" s="390"/>
      <c r="CR13" s="390"/>
      <c r="CS13" s="390"/>
      <c r="CT13" s="390"/>
      <c r="CU13" s="390"/>
      <c r="CV13" s="390"/>
      <c r="CW13" s="390"/>
      <c r="CX13" s="390"/>
      <c r="CY13" s="390"/>
      <c r="CZ13" s="390"/>
      <c r="DA13" s="390"/>
      <c r="DB13" s="390"/>
      <c r="DC13" s="390"/>
      <c r="DD13" s="390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H13"/>
      <c r="EI13"/>
      <c r="EJ13"/>
    </row>
    <row r="14" spans="1:140" s="377" customFormat="1" ht="35.25" customHeight="1" x14ac:dyDescent="0.25">
      <c r="A14" s="423">
        <v>8</v>
      </c>
      <c r="B14" s="486"/>
      <c r="C14" s="401" t="s">
        <v>352</v>
      </c>
      <c r="D14" s="393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  <c r="AL14" s="393"/>
      <c r="AM14" s="393"/>
      <c r="AN14" s="393"/>
      <c r="AO14" s="393"/>
      <c r="AP14" s="393"/>
      <c r="AQ14" s="393"/>
      <c r="AR14" s="393"/>
      <c r="AS14" s="393"/>
      <c r="AT14" s="390"/>
      <c r="AU14" s="390"/>
      <c r="AV14" s="390"/>
      <c r="AW14" s="390"/>
      <c r="AX14" s="390"/>
      <c r="AY14" s="390"/>
      <c r="AZ14" s="390"/>
      <c r="BA14" s="390"/>
      <c r="BB14" s="390"/>
      <c r="BC14" s="390"/>
      <c r="BD14" s="390"/>
      <c r="BE14" s="390"/>
      <c r="BF14" s="390"/>
      <c r="BG14" s="390"/>
      <c r="BH14" s="390"/>
      <c r="BI14" s="390"/>
      <c r="BJ14" s="390"/>
      <c r="BK14" s="390"/>
      <c r="BL14" s="390"/>
      <c r="BM14" s="390"/>
      <c r="BN14" s="390"/>
      <c r="BO14" s="390"/>
      <c r="BP14" s="390"/>
      <c r="BQ14" s="390"/>
      <c r="BR14" s="390"/>
      <c r="BS14" s="390"/>
      <c r="BT14" s="390"/>
      <c r="BU14" s="390"/>
      <c r="BV14" s="390"/>
      <c r="BW14" s="390"/>
      <c r="BX14" s="390"/>
      <c r="BY14" s="390"/>
      <c r="BZ14" s="390"/>
      <c r="CA14" s="390"/>
      <c r="CB14" s="390"/>
      <c r="CC14" s="390"/>
      <c r="CD14" s="390"/>
      <c r="CE14" s="390"/>
      <c r="CF14" s="390"/>
      <c r="CG14" s="390"/>
      <c r="CH14" s="390"/>
      <c r="CI14" s="390"/>
      <c r="CJ14" s="390"/>
      <c r="CK14" s="390"/>
      <c r="CL14" s="390"/>
      <c r="CM14" s="390"/>
      <c r="CN14" s="390"/>
      <c r="CO14" s="390"/>
      <c r="CP14" s="390"/>
      <c r="CQ14" s="390"/>
      <c r="CR14" s="390"/>
      <c r="CS14" s="390"/>
      <c r="CT14" s="390"/>
      <c r="CU14" s="390"/>
      <c r="CV14" s="390"/>
      <c r="CW14" s="390"/>
      <c r="CX14" s="390"/>
      <c r="CY14" s="390"/>
      <c r="CZ14" s="390"/>
      <c r="DA14" s="390"/>
      <c r="DB14" s="390"/>
      <c r="DC14" s="390"/>
      <c r="DD14" s="390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H14"/>
      <c r="EI14"/>
      <c r="EJ14"/>
    </row>
    <row r="15" spans="1:140" ht="36.75" customHeight="1" x14ac:dyDescent="0.25">
      <c r="A15" s="423">
        <v>9</v>
      </c>
      <c r="B15" s="486" t="s">
        <v>363</v>
      </c>
      <c r="C15" s="401" t="s">
        <v>145</v>
      </c>
      <c r="D15" s="391">
        <v>46890</v>
      </c>
      <c r="E15" s="391">
        <v>56986</v>
      </c>
      <c r="F15" s="391">
        <v>103876</v>
      </c>
      <c r="G15" s="391">
        <v>44243</v>
      </c>
      <c r="H15" s="391">
        <v>55497</v>
      </c>
      <c r="I15" s="391">
        <v>99740</v>
      </c>
      <c r="J15" s="391">
        <v>32200</v>
      </c>
      <c r="K15" s="391">
        <v>45224</v>
      </c>
      <c r="L15" s="391">
        <v>77424</v>
      </c>
      <c r="M15" s="389">
        <v>0.72779874782451459</v>
      </c>
      <c r="N15" s="389">
        <v>0.81489089500333356</v>
      </c>
      <c r="O15" s="389">
        <v>0.77625827150591542</v>
      </c>
      <c r="P15" s="391">
        <v>32200</v>
      </c>
      <c r="Q15" s="391">
        <v>45224</v>
      </c>
      <c r="R15" s="391">
        <v>77424</v>
      </c>
      <c r="S15" s="391">
        <v>12382</v>
      </c>
      <c r="T15" s="391">
        <v>21528</v>
      </c>
      <c r="U15" s="391">
        <v>33910</v>
      </c>
      <c r="V15" s="389">
        <v>0.38453416149068326</v>
      </c>
      <c r="W15" s="389">
        <v>0.47603042632230674</v>
      </c>
      <c r="X15" s="389">
        <v>0.43797788799338705</v>
      </c>
      <c r="Y15" s="391">
        <v>41552</v>
      </c>
      <c r="Z15" s="391">
        <v>51536</v>
      </c>
      <c r="AA15" s="391">
        <v>93088</v>
      </c>
      <c r="AB15" s="391">
        <v>39039</v>
      </c>
      <c r="AC15" s="391">
        <v>50104</v>
      </c>
      <c r="AD15" s="391">
        <v>89143</v>
      </c>
      <c r="AE15" s="391">
        <v>27782</v>
      </c>
      <c r="AF15" s="391">
        <v>40373</v>
      </c>
      <c r="AG15" s="391">
        <v>68155</v>
      </c>
      <c r="AH15" s="389">
        <v>0.71164732703194244</v>
      </c>
      <c r="AI15" s="389">
        <v>0.80578396934376495</v>
      </c>
      <c r="AJ15" s="389">
        <v>0.76455806961847816</v>
      </c>
      <c r="AK15" s="391">
        <v>27782</v>
      </c>
      <c r="AL15" s="391">
        <v>40373</v>
      </c>
      <c r="AM15" s="391">
        <v>68155</v>
      </c>
      <c r="AN15" s="391">
        <v>9905</v>
      </c>
      <c r="AO15" s="391">
        <v>18096</v>
      </c>
      <c r="AP15" s="391">
        <v>28001</v>
      </c>
      <c r="AQ15" s="389">
        <v>0.35652580807717227</v>
      </c>
      <c r="AR15" s="389">
        <v>0.44822034528026156</v>
      </c>
      <c r="AS15" s="389">
        <v>0.41084293155307755</v>
      </c>
      <c r="AT15" s="390"/>
      <c r="AU15" s="390"/>
      <c r="AV15" s="390"/>
      <c r="AW15" s="390"/>
      <c r="AX15" s="390"/>
      <c r="AY15" s="390"/>
      <c r="AZ15" s="390"/>
      <c r="BA15" s="390"/>
      <c r="BB15" s="390"/>
      <c r="BC15" s="390"/>
      <c r="BD15" s="390"/>
      <c r="BE15" s="390"/>
      <c r="BF15" s="390"/>
      <c r="BG15" s="390"/>
      <c r="BH15" s="390"/>
      <c r="BI15" s="390"/>
      <c r="BJ15" s="390"/>
      <c r="BK15" s="390"/>
      <c r="BL15" s="390"/>
      <c r="BM15" s="390"/>
      <c r="BN15" s="390"/>
      <c r="BO15" s="391">
        <v>5338</v>
      </c>
      <c r="BP15" s="391">
        <v>5450</v>
      </c>
      <c r="BQ15" s="391">
        <v>10788</v>
      </c>
      <c r="BR15" s="391">
        <v>5204</v>
      </c>
      <c r="BS15" s="391">
        <v>5393</v>
      </c>
      <c r="BT15" s="391">
        <v>10597</v>
      </c>
      <c r="BU15" s="391">
        <v>4418</v>
      </c>
      <c r="BV15" s="391">
        <v>4851</v>
      </c>
      <c r="BW15" s="391">
        <v>9269</v>
      </c>
      <c r="BX15" s="389">
        <v>0.84896233666410459</v>
      </c>
      <c r="BY15" s="389">
        <v>0.89949935101056921</v>
      </c>
      <c r="BZ15" s="389">
        <v>0.87468151363593472</v>
      </c>
      <c r="CA15" s="391">
        <v>4418</v>
      </c>
      <c r="CB15" s="391">
        <v>4851</v>
      </c>
      <c r="CC15" s="391">
        <v>9269</v>
      </c>
      <c r="CD15" s="391">
        <v>2477</v>
      </c>
      <c r="CE15" s="391">
        <v>3432</v>
      </c>
      <c r="CF15" s="391">
        <v>5909</v>
      </c>
      <c r="CG15" s="389">
        <v>0.56066093254866456</v>
      </c>
      <c r="CH15" s="389">
        <v>0.70748299319727892</v>
      </c>
      <c r="CI15" s="389">
        <v>0.63750134858129248</v>
      </c>
      <c r="CJ15" s="390"/>
      <c r="CK15" s="390"/>
      <c r="CL15" s="390"/>
      <c r="CM15" s="390"/>
      <c r="CN15" s="390"/>
      <c r="CO15" s="390"/>
      <c r="CP15" s="390"/>
      <c r="CQ15" s="390"/>
      <c r="CR15" s="390"/>
      <c r="CS15" s="390"/>
      <c r="CT15" s="390"/>
      <c r="CU15" s="390"/>
      <c r="CV15" s="390"/>
      <c r="CW15" s="390"/>
      <c r="CX15" s="390"/>
      <c r="CY15" s="390"/>
      <c r="CZ15" s="390"/>
      <c r="DA15" s="390"/>
      <c r="DB15" s="390"/>
      <c r="DC15" s="390"/>
      <c r="DD15" s="390"/>
    </row>
    <row r="16" spans="1:140" s="377" customFormat="1" ht="31.5" x14ac:dyDescent="0.25">
      <c r="A16" s="423">
        <v>10</v>
      </c>
      <c r="B16" s="486"/>
      <c r="C16" s="401" t="s">
        <v>346</v>
      </c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3"/>
      <c r="AF16" s="393"/>
      <c r="AG16" s="393"/>
      <c r="AH16" s="390"/>
      <c r="AI16" s="390"/>
      <c r="AJ16" s="390"/>
      <c r="AK16" s="390"/>
      <c r="AL16" s="390"/>
      <c r="AM16" s="390"/>
      <c r="AN16" s="390"/>
      <c r="AO16" s="390"/>
      <c r="AP16" s="390"/>
      <c r="AQ16" s="390"/>
      <c r="AR16" s="390"/>
      <c r="AS16" s="390"/>
      <c r="AT16" s="390"/>
      <c r="AU16" s="390"/>
      <c r="AV16" s="390"/>
      <c r="AW16" s="390"/>
      <c r="AX16" s="390"/>
      <c r="AY16" s="390"/>
      <c r="AZ16" s="390"/>
      <c r="BA16" s="390"/>
      <c r="BB16" s="390"/>
      <c r="BC16" s="390"/>
      <c r="BD16" s="390"/>
      <c r="BE16" s="390"/>
      <c r="BF16" s="390"/>
      <c r="BG16" s="390"/>
      <c r="BH16" s="390"/>
      <c r="BI16" s="390"/>
      <c r="BJ16" s="390"/>
      <c r="BK16" s="390"/>
      <c r="BL16" s="390"/>
      <c r="BM16" s="390"/>
      <c r="BN16" s="390"/>
      <c r="BO16" s="390"/>
      <c r="BP16" s="390"/>
      <c r="BQ16" s="390"/>
      <c r="BR16" s="390"/>
      <c r="BS16" s="390"/>
      <c r="BT16" s="390"/>
      <c r="BU16" s="390"/>
      <c r="BV16" s="390"/>
      <c r="BW16" s="390"/>
      <c r="BX16" s="390"/>
      <c r="BY16" s="390"/>
      <c r="BZ16" s="390"/>
      <c r="CA16" s="390"/>
      <c r="CB16" s="390"/>
      <c r="CC16" s="390"/>
      <c r="CD16" s="390"/>
      <c r="CE16" s="390"/>
      <c r="CF16" s="390"/>
      <c r="CG16" s="390"/>
      <c r="CH16" s="390"/>
      <c r="CI16" s="390"/>
      <c r="CJ16" s="390"/>
      <c r="CK16" s="390"/>
      <c r="CL16" s="390"/>
      <c r="CM16" s="390"/>
      <c r="CN16" s="390"/>
      <c r="CO16" s="390"/>
      <c r="CP16" s="390"/>
      <c r="CQ16" s="390"/>
      <c r="CR16" s="390"/>
      <c r="CS16" s="390"/>
      <c r="CT16" s="390"/>
      <c r="CU16" s="390"/>
      <c r="CV16" s="390"/>
      <c r="CW16" s="390"/>
      <c r="CX16" s="390"/>
      <c r="CY16" s="390"/>
      <c r="CZ16" s="390"/>
      <c r="DA16" s="390"/>
      <c r="DB16" s="390"/>
      <c r="DC16" s="390"/>
      <c r="DD16" s="390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H16"/>
      <c r="EI16"/>
      <c r="EJ16"/>
    </row>
    <row r="17" spans="1:140" s="376" customFormat="1" ht="31.5" x14ac:dyDescent="0.25">
      <c r="A17" s="423">
        <v>11</v>
      </c>
      <c r="B17" s="486"/>
      <c r="C17" s="401" t="s">
        <v>347</v>
      </c>
      <c r="D17" s="391">
        <v>107</v>
      </c>
      <c r="E17" s="391">
        <v>91</v>
      </c>
      <c r="F17" s="391">
        <v>198</v>
      </c>
      <c r="G17" s="391">
        <v>97</v>
      </c>
      <c r="H17" s="391">
        <v>81</v>
      </c>
      <c r="I17" s="391">
        <v>178</v>
      </c>
      <c r="J17" s="391">
        <v>97</v>
      </c>
      <c r="K17" s="391">
        <v>81</v>
      </c>
      <c r="L17" s="391">
        <v>178</v>
      </c>
      <c r="M17" s="389">
        <v>1</v>
      </c>
      <c r="N17" s="389">
        <v>1</v>
      </c>
      <c r="O17" s="389">
        <v>1</v>
      </c>
      <c r="P17" s="391">
        <v>97</v>
      </c>
      <c r="Q17" s="391">
        <v>81</v>
      </c>
      <c r="R17" s="391">
        <v>178</v>
      </c>
      <c r="S17" s="391">
        <v>76</v>
      </c>
      <c r="T17" s="391">
        <v>52</v>
      </c>
      <c r="U17" s="391">
        <v>128</v>
      </c>
      <c r="V17" s="389">
        <v>0.78350515463917525</v>
      </c>
      <c r="W17" s="389">
        <v>0.64197530864197527</v>
      </c>
      <c r="X17" s="389">
        <v>0.7191011235955056</v>
      </c>
      <c r="Y17" s="393"/>
      <c r="Z17" s="393"/>
      <c r="AA17" s="393"/>
      <c r="AB17" s="393"/>
      <c r="AC17" s="393"/>
      <c r="AD17" s="393"/>
      <c r="AE17" s="393"/>
      <c r="AF17" s="393"/>
      <c r="AG17" s="393"/>
      <c r="AH17" s="393"/>
      <c r="AI17" s="393"/>
      <c r="AJ17" s="393"/>
      <c r="AK17" s="393"/>
      <c r="AL17" s="393"/>
      <c r="AM17" s="393"/>
      <c r="AN17" s="393"/>
      <c r="AO17" s="393"/>
      <c r="AP17" s="393"/>
      <c r="AQ17" s="393"/>
      <c r="AR17" s="393"/>
      <c r="AS17" s="393"/>
      <c r="AT17" s="391">
        <v>46</v>
      </c>
      <c r="AU17" s="391">
        <v>45</v>
      </c>
      <c r="AV17" s="391">
        <v>91</v>
      </c>
      <c r="AW17" s="391">
        <v>36</v>
      </c>
      <c r="AX17" s="391">
        <v>35</v>
      </c>
      <c r="AY17" s="391">
        <v>71</v>
      </c>
      <c r="AZ17" s="391">
        <v>36</v>
      </c>
      <c r="BA17" s="391">
        <v>35</v>
      </c>
      <c r="BB17" s="391">
        <v>71</v>
      </c>
      <c r="BC17" s="389">
        <v>1</v>
      </c>
      <c r="BD17" s="389">
        <v>1</v>
      </c>
      <c r="BE17" s="389">
        <v>1</v>
      </c>
      <c r="BF17" s="391">
        <v>36</v>
      </c>
      <c r="BG17" s="391">
        <v>35</v>
      </c>
      <c r="BH17" s="391">
        <v>71</v>
      </c>
      <c r="BI17" s="391">
        <v>22</v>
      </c>
      <c r="BJ17" s="391">
        <v>19</v>
      </c>
      <c r="BK17" s="391">
        <v>41</v>
      </c>
      <c r="BL17" s="389">
        <v>0.61111111111111116</v>
      </c>
      <c r="BM17" s="389">
        <v>0.54285714285714282</v>
      </c>
      <c r="BN17" s="389">
        <v>0.57746478873239437</v>
      </c>
      <c r="BO17" s="391">
        <v>61</v>
      </c>
      <c r="BP17" s="391">
        <v>46</v>
      </c>
      <c r="BQ17" s="391">
        <v>107</v>
      </c>
      <c r="BR17" s="391">
        <v>61</v>
      </c>
      <c r="BS17" s="391">
        <v>46</v>
      </c>
      <c r="BT17" s="391">
        <v>107</v>
      </c>
      <c r="BU17" s="391">
        <v>61</v>
      </c>
      <c r="BV17" s="391">
        <v>46</v>
      </c>
      <c r="BW17" s="391">
        <v>107</v>
      </c>
      <c r="BX17" s="389">
        <v>1</v>
      </c>
      <c r="BY17" s="389">
        <v>1</v>
      </c>
      <c r="BZ17" s="389">
        <v>1</v>
      </c>
      <c r="CA17" s="391">
        <v>61</v>
      </c>
      <c r="CB17" s="391">
        <v>46</v>
      </c>
      <c r="CC17" s="391">
        <v>107</v>
      </c>
      <c r="CD17" s="391">
        <v>54</v>
      </c>
      <c r="CE17" s="391">
        <v>33</v>
      </c>
      <c r="CF17" s="391">
        <v>87</v>
      </c>
      <c r="CG17" s="389">
        <v>0.88524590163934425</v>
      </c>
      <c r="CH17" s="389">
        <v>0.71739130434782605</v>
      </c>
      <c r="CI17" s="389">
        <v>0.81308411214953269</v>
      </c>
      <c r="CJ17" s="390"/>
      <c r="CK17" s="390"/>
      <c r="CL17" s="390"/>
      <c r="CM17" s="390"/>
      <c r="CN17" s="390"/>
      <c r="CO17" s="390"/>
      <c r="CP17" s="390"/>
      <c r="CQ17" s="390"/>
      <c r="CR17" s="390"/>
      <c r="CS17" s="390"/>
      <c r="CT17" s="390"/>
      <c r="CU17" s="390"/>
      <c r="CV17" s="390"/>
      <c r="CW17" s="390"/>
      <c r="CX17" s="390"/>
      <c r="CY17" s="390"/>
      <c r="CZ17" s="390"/>
      <c r="DA17" s="390"/>
      <c r="DB17" s="390"/>
      <c r="DC17" s="390"/>
      <c r="DD17" s="390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H17"/>
      <c r="EI17"/>
      <c r="EJ17"/>
    </row>
    <row r="18" spans="1:140" ht="36" customHeight="1" x14ac:dyDescent="0.25">
      <c r="A18" s="423">
        <v>12</v>
      </c>
      <c r="B18" s="463" t="s">
        <v>364</v>
      </c>
      <c r="C18" s="401" t="s">
        <v>148</v>
      </c>
      <c r="D18" s="391">
        <v>1053</v>
      </c>
      <c r="E18" s="391">
        <v>1060</v>
      </c>
      <c r="F18" s="391">
        <v>2113</v>
      </c>
      <c r="G18" s="391">
        <v>1053</v>
      </c>
      <c r="H18" s="391">
        <v>1057</v>
      </c>
      <c r="I18" s="391">
        <v>2110</v>
      </c>
      <c r="J18" s="391">
        <v>1004</v>
      </c>
      <c r="K18" s="391">
        <v>1028</v>
      </c>
      <c r="L18" s="391">
        <v>2032</v>
      </c>
      <c r="M18" s="389">
        <v>0.95346628679962009</v>
      </c>
      <c r="N18" s="389">
        <v>0.97256385998107853</v>
      </c>
      <c r="O18" s="389">
        <v>0.96303317535545019</v>
      </c>
      <c r="P18" s="391">
        <v>1004</v>
      </c>
      <c r="Q18" s="391">
        <v>1028</v>
      </c>
      <c r="R18" s="391">
        <v>2032</v>
      </c>
      <c r="S18" s="391">
        <v>599</v>
      </c>
      <c r="T18" s="391">
        <v>772</v>
      </c>
      <c r="U18" s="391">
        <v>1371</v>
      </c>
      <c r="V18" s="389">
        <v>0.59661354581673309</v>
      </c>
      <c r="W18" s="389">
        <v>0.75097276264591439</v>
      </c>
      <c r="X18" s="389">
        <v>0.67470472440944884</v>
      </c>
      <c r="Y18" s="391">
        <v>190</v>
      </c>
      <c r="Z18" s="391">
        <v>194</v>
      </c>
      <c r="AA18" s="391">
        <v>384</v>
      </c>
      <c r="AB18" s="391">
        <v>190</v>
      </c>
      <c r="AC18" s="391">
        <v>192</v>
      </c>
      <c r="AD18" s="391">
        <v>382</v>
      </c>
      <c r="AE18" s="391">
        <v>181</v>
      </c>
      <c r="AF18" s="391">
        <v>186</v>
      </c>
      <c r="AG18" s="391">
        <v>367</v>
      </c>
      <c r="AH18" s="389">
        <v>0.95263157894736838</v>
      </c>
      <c r="AI18" s="389">
        <v>0.96875</v>
      </c>
      <c r="AJ18" s="389">
        <v>0.96073298429319376</v>
      </c>
      <c r="AK18" s="391">
        <v>181</v>
      </c>
      <c r="AL18" s="391">
        <v>186</v>
      </c>
      <c r="AM18" s="391">
        <v>367</v>
      </c>
      <c r="AN18" s="391">
        <v>96</v>
      </c>
      <c r="AO18" s="391">
        <v>142</v>
      </c>
      <c r="AP18" s="391">
        <v>238</v>
      </c>
      <c r="AQ18" s="389">
        <v>0.53038674033149169</v>
      </c>
      <c r="AR18" s="389">
        <v>0.76344086021505375</v>
      </c>
      <c r="AS18" s="389">
        <v>0.64850136239782019</v>
      </c>
      <c r="AT18" s="391">
        <v>860</v>
      </c>
      <c r="AU18" s="391">
        <v>864</v>
      </c>
      <c r="AV18" s="391">
        <v>1724</v>
      </c>
      <c r="AW18" s="391">
        <v>860</v>
      </c>
      <c r="AX18" s="391">
        <v>863</v>
      </c>
      <c r="AY18" s="391">
        <v>1723</v>
      </c>
      <c r="AZ18" s="391">
        <v>820</v>
      </c>
      <c r="BA18" s="391">
        <v>840</v>
      </c>
      <c r="BB18" s="391">
        <v>1660</v>
      </c>
      <c r="BC18" s="389">
        <v>0.95348837209302328</v>
      </c>
      <c r="BD18" s="389">
        <v>0.97334878331402086</v>
      </c>
      <c r="BE18" s="389">
        <v>0.96343586767266398</v>
      </c>
      <c r="BF18" s="391">
        <v>820</v>
      </c>
      <c r="BG18" s="391">
        <v>840</v>
      </c>
      <c r="BH18" s="391">
        <v>1660</v>
      </c>
      <c r="BI18" s="391">
        <v>502</v>
      </c>
      <c r="BJ18" s="391">
        <v>628</v>
      </c>
      <c r="BK18" s="391">
        <v>1130</v>
      </c>
      <c r="BL18" s="389">
        <v>0.6121951219512195</v>
      </c>
      <c r="BM18" s="389">
        <v>0.74761904761904763</v>
      </c>
      <c r="BN18" s="389">
        <v>0.68072289156626509</v>
      </c>
      <c r="BO18" s="391">
        <v>0</v>
      </c>
      <c r="BP18" s="391">
        <v>2</v>
      </c>
      <c r="BQ18" s="391">
        <v>2</v>
      </c>
      <c r="BR18" s="391">
        <v>0</v>
      </c>
      <c r="BS18" s="391">
        <v>2</v>
      </c>
      <c r="BT18" s="391">
        <v>2</v>
      </c>
      <c r="BU18" s="391">
        <v>0</v>
      </c>
      <c r="BV18" s="391">
        <v>2</v>
      </c>
      <c r="BW18" s="391">
        <v>2</v>
      </c>
      <c r="BX18" s="390"/>
      <c r="BY18" s="389">
        <v>1</v>
      </c>
      <c r="BZ18" s="389">
        <v>1</v>
      </c>
      <c r="CA18" s="391">
        <v>0</v>
      </c>
      <c r="CB18" s="391">
        <v>2</v>
      </c>
      <c r="CC18" s="391">
        <v>2</v>
      </c>
      <c r="CD18" s="391">
        <v>0</v>
      </c>
      <c r="CE18" s="391">
        <v>2</v>
      </c>
      <c r="CF18" s="391">
        <v>2</v>
      </c>
      <c r="CG18" s="390"/>
      <c r="CH18" s="389">
        <v>1</v>
      </c>
      <c r="CI18" s="389">
        <v>1</v>
      </c>
      <c r="CJ18" s="392">
        <v>3</v>
      </c>
      <c r="CK18" s="392">
        <v>0</v>
      </c>
      <c r="CL18" s="392">
        <v>3</v>
      </c>
      <c r="CM18" s="414">
        <v>3</v>
      </c>
      <c r="CN18" s="414">
        <v>0</v>
      </c>
      <c r="CO18" s="388">
        <v>3</v>
      </c>
      <c r="CP18" s="414">
        <v>3</v>
      </c>
      <c r="CQ18" s="414">
        <v>0</v>
      </c>
      <c r="CR18" s="388">
        <v>3</v>
      </c>
      <c r="CS18" s="389">
        <v>1</v>
      </c>
      <c r="CT18" s="390"/>
      <c r="CU18" s="389">
        <v>1</v>
      </c>
      <c r="CV18" s="414">
        <v>3</v>
      </c>
      <c r="CW18" s="414">
        <v>0</v>
      </c>
      <c r="CX18" s="388">
        <v>3</v>
      </c>
      <c r="CY18" s="385">
        <v>1</v>
      </c>
      <c r="CZ18" s="386">
        <v>0</v>
      </c>
      <c r="DA18" s="386">
        <v>1</v>
      </c>
      <c r="DB18" s="389">
        <v>0.33333333333333331</v>
      </c>
      <c r="DC18" s="390"/>
      <c r="DD18" s="389">
        <v>0.33333333333333331</v>
      </c>
    </row>
    <row r="19" spans="1:140" s="376" customFormat="1" ht="31.5" x14ac:dyDescent="0.25">
      <c r="A19" s="423">
        <v>13</v>
      </c>
      <c r="B19" s="463" t="s">
        <v>365</v>
      </c>
      <c r="C19" s="401" t="s">
        <v>149</v>
      </c>
      <c r="D19" s="391">
        <v>61922</v>
      </c>
      <c r="E19" s="391">
        <v>58700</v>
      </c>
      <c r="F19" s="391">
        <v>120622</v>
      </c>
      <c r="G19" s="391">
        <v>60280</v>
      </c>
      <c r="H19" s="391">
        <v>57227</v>
      </c>
      <c r="I19" s="391">
        <v>117507</v>
      </c>
      <c r="J19" s="391">
        <v>32589</v>
      </c>
      <c r="K19" s="391">
        <v>38819</v>
      </c>
      <c r="L19" s="391">
        <v>71408</v>
      </c>
      <c r="M19" s="389">
        <v>0.54062707365627072</v>
      </c>
      <c r="N19" s="389">
        <v>0.67833365369493426</v>
      </c>
      <c r="O19" s="389">
        <v>0.60769145667917657</v>
      </c>
      <c r="P19" s="391">
        <v>32589</v>
      </c>
      <c r="Q19" s="391">
        <v>38819</v>
      </c>
      <c r="R19" s="391">
        <v>71408</v>
      </c>
      <c r="S19" s="391">
        <v>11989</v>
      </c>
      <c r="T19" s="391">
        <v>18289</v>
      </c>
      <c r="U19" s="391">
        <v>30278</v>
      </c>
      <c r="V19" s="389">
        <v>0.36788486912761975</v>
      </c>
      <c r="W19" s="389">
        <v>0.4711352688116644</v>
      </c>
      <c r="X19" s="389">
        <v>0.42401411606542683</v>
      </c>
      <c r="Y19" s="391">
        <v>7330</v>
      </c>
      <c r="Z19" s="391">
        <v>9065</v>
      </c>
      <c r="AA19" s="391">
        <v>16395</v>
      </c>
      <c r="AB19" s="391">
        <v>7081</v>
      </c>
      <c r="AC19" s="391">
        <v>8803</v>
      </c>
      <c r="AD19" s="391">
        <v>15884</v>
      </c>
      <c r="AE19" s="391">
        <v>4440</v>
      </c>
      <c r="AF19" s="391">
        <v>6707</v>
      </c>
      <c r="AG19" s="391">
        <v>11147</v>
      </c>
      <c r="AH19" s="389">
        <v>0.62703008049710496</v>
      </c>
      <c r="AI19" s="389">
        <v>0.76189935249346818</v>
      </c>
      <c r="AJ19" s="389">
        <v>0.70177537144296143</v>
      </c>
      <c r="AK19" s="391">
        <v>4440</v>
      </c>
      <c r="AL19" s="391">
        <v>6707</v>
      </c>
      <c r="AM19" s="391">
        <v>11147</v>
      </c>
      <c r="AN19" s="391">
        <v>1868</v>
      </c>
      <c r="AO19" s="391">
        <v>3569</v>
      </c>
      <c r="AP19" s="391">
        <v>5437</v>
      </c>
      <c r="AQ19" s="389">
        <v>0.4207207207207207</v>
      </c>
      <c r="AR19" s="389">
        <v>0.53213060981064564</v>
      </c>
      <c r="AS19" s="389">
        <v>0.48775455279447383</v>
      </c>
      <c r="AT19" s="391">
        <v>47374</v>
      </c>
      <c r="AU19" s="391">
        <v>43559</v>
      </c>
      <c r="AV19" s="391">
        <v>90933</v>
      </c>
      <c r="AW19" s="391">
        <v>46073</v>
      </c>
      <c r="AX19" s="391">
        <v>42437</v>
      </c>
      <c r="AY19" s="391">
        <v>88510</v>
      </c>
      <c r="AZ19" s="391">
        <v>23172</v>
      </c>
      <c r="BA19" s="391">
        <v>27443</v>
      </c>
      <c r="BB19" s="391">
        <v>50615</v>
      </c>
      <c r="BC19" s="389">
        <v>0.50294098495865258</v>
      </c>
      <c r="BD19" s="389">
        <v>0.64667624949925773</v>
      </c>
      <c r="BE19" s="389">
        <v>0.57185628742514971</v>
      </c>
      <c r="BF19" s="391">
        <v>23172</v>
      </c>
      <c r="BG19" s="391">
        <v>27443</v>
      </c>
      <c r="BH19" s="391">
        <v>50615</v>
      </c>
      <c r="BI19" s="391">
        <v>7176</v>
      </c>
      <c r="BJ19" s="391">
        <v>11725</v>
      </c>
      <c r="BK19" s="391">
        <v>18901</v>
      </c>
      <c r="BL19" s="389">
        <v>0.30968410150181253</v>
      </c>
      <c r="BM19" s="389">
        <v>0.4272492074481653</v>
      </c>
      <c r="BN19" s="389">
        <v>0.37342684974809837</v>
      </c>
      <c r="BO19" s="391">
        <v>6392</v>
      </c>
      <c r="BP19" s="391">
        <v>5045</v>
      </c>
      <c r="BQ19" s="391">
        <v>11437</v>
      </c>
      <c r="BR19" s="391">
        <v>6317</v>
      </c>
      <c r="BS19" s="391">
        <v>4970</v>
      </c>
      <c r="BT19" s="391">
        <v>11287</v>
      </c>
      <c r="BU19" s="391">
        <v>4325</v>
      </c>
      <c r="BV19" s="391">
        <v>3806</v>
      </c>
      <c r="BW19" s="391">
        <v>8131</v>
      </c>
      <c r="BX19" s="389">
        <v>0.68466044008231752</v>
      </c>
      <c r="BY19" s="389">
        <v>0.76579476861167006</v>
      </c>
      <c r="BZ19" s="389">
        <v>0.72038628510675995</v>
      </c>
      <c r="CA19" s="391">
        <v>4325</v>
      </c>
      <c r="CB19" s="391">
        <v>3806</v>
      </c>
      <c r="CC19" s="391">
        <v>8131</v>
      </c>
      <c r="CD19" s="391">
        <v>2514</v>
      </c>
      <c r="CE19" s="391">
        <v>2424</v>
      </c>
      <c r="CF19" s="391">
        <v>4938</v>
      </c>
      <c r="CG19" s="389">
        <v>0.58127167630057808</v>
      </c>
      <c r="CH19" s="389">
        <v>0.63688912243825535</v>
      </c>
      <c r="CI19" s="389">
        <v>0.60730537449268229</v>
      </c>
      <c r="CJ19" s="391">
        <v>826</v>
      </c>
      <c r="CK19" s="391">
        <v>1031</v>
      </c>
      <c r="CL19" s="391">
        <v>1857</v>
      </c>
      <c r="CM19" s="391">
        <v>809</v>
      </c>
      <c r="CN19" s="391">
        <v>1017</v>
      </c>
      <c r="CO19" s="391">
        <v>1826</v>
      </c>
      <c r="CP19" s="391">
        <v>652</v>
      </c>
      <c r="CQ19" s="391">
        <v>863</v>
      </c>
      <c r="CR19" s="391">
        <v>1515</v>
      </c>
      <c r="CS19" s="389">
        <v>0.80593325092707047</v>
      </c>
      <c r="CT19" s="389">
        <v>0.84857423795476894</v>
      </c>
      <c r="CU19" s="389">
        <v>0.8296823658269441</v>
      </c>
      <c r="CV19" s="391">
        <v>652</v>
      </c>
      <c r="CW19" s="391">
        <v>863</v>
      </c>
      <c r="CX19" s="391">
        <v>1515</v>
      </c>
      <c r="CY19" s="391">
        <v>431</v>
      </c>
      <c r="CZ19" s="391">
        <v>571</v>
      </c>
      <c r="DA19" s="391">
        <v>1002</v>
      </c>
      <c r="DB19" s="389">
        <v>0.66104294478527603</v>
      </c>
      <c r="DC19" s="389">
        <v>0.66164542294322137</v>
      </c>
      <c r="DD19" s="389">
        <v>0.66138613861386142</v>
      </c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H19"/>
      <c r="EI19"/>
      <c r="EJ19"/>
    </row>
    <row r="20" spans="1:140" ht="43.5" customHeight="1" x14ac:dyDescent="0.25">
      <c r="A20" s="423">
        <v>14</v>
      </c>
      <c r="B20" s="463" t="s">
        <v>366</v>
      </c>
      <c r="C20" s="401" t="s">
        <v>140</v>
      </c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  <c r="U20" s="393"/>
      <c r="V20" s="393"/>
      <c r="W20" s="393"/>
      <c r="X20" s="393"/>
      <c r="Y20" s="393"/>
      <c r="Z20" s="393"/>
      <c r="AA20" s="393"/>
      <c r="AB20" s="393"/>
      <c r="AC20" s="393"/>
      <c r="AD20" s="393"/>
      <c r="AE20" s="393"/>
      <c r="AF20" s="393"/>
      <c r="AG20" s="393"/>
      <c r="AH20" s="393"/>
      <c r="AI20" s="393"/>
      <c r="AJ20" s="393"/>
      <c r="AK20" s="393"/>
      <c r="AL20" s="393"/>
      <c r="AM20" s="393"/>
      <c r="AN20" s="393"/>
      <c r="AO20" s="393"/>
      <c r="AP20" s="393"/>
      <c r="AQ20" s="393"/>
      <c r="AR20" s="393"/>
      <c r="AS20" s="393"/>
      <c r="AT20" s="390"/>
      <c r="AU20" s="390"/>
      <c r="AV20" s="390"/>
      <c r="AW20" s="390"/>
      <c r="AX20" s="390"/>
      <c r="AY20" s="390"/>
      <c r="AZ20" s="390"/>
      <c r="BA20" s="390"/>
      <c r="BB20" s="390"/>
      <c r="BC20" s="390"/>
      <c r="BD20" s="390"/>
      <c r="BE20" s="390"/>
      <c r="BF20" s="390"/>
      <c r="BG20" s="390"/>
      <c r="BH20" s="390"/>
      <c r="BI20" s="390"/>
      <c r="BJ20" s="390"/>
      <c r="BK20" s="390"/>
      <c r="BL20" s="390"/>
      <c r="BM20" s="390"/>
      <c r="BN20" s="390"/>
      <c r="BO20" s="390"/>
      <c r="BP20" s="390"/>
      <c r="BQ20" s="390"/>
      <c r="BR20" s="390"/>
      <c r="BS20" s="390"/>
      <c r="BT20" s="390"/>
      <c r="BU20" s="390"/>
      <c r="BV20" s="390"/>
      <c r="BW20" s="390"/>
      <c r="BX20" s="390"/>
      <c r="BY20" s="390"/>
      <c r="BZ20" s="390"/>
      <c r="CA20" s="390"/>
      <c r="CB20" s="390"/>
      <c r="CC20" s="390"/>
      <c r="CD20" s="390"/>
      <c r="CE20" s="390"/>
      <c r="CF20" s="390"/>
      <c r="CG20" s="390"/>
      <c r="CH20" s="390"/>
      <c r="CI20" s="390"/>
      <c r="CJ20" s="390"/>
      <c r="CK20" s="390"/>
      <c r="CL20" s="390"/>
      <c r="CM20" s="390"/>
      <c r="CN20" s="390"/>
      <c r="CO20" s="390"/>
      <c r="CP20" s="390"/>
      <c r="CQ20" s="390"/>
      <c r="CR20" s="390"/>
      <c r="CS20" s="390"/>
      <c r="CT20" s="390"/>
      <c r="CU20" s="390"/>
      <c r="CV20" s="390"/>
      <c r="CW20" s="390"/>
      <c r="CX20" s="390"/>
      <c r="CY20" s="390"/>
      <c r="CZ20" s="390"/>
      <c r="DA20" s="390"/>
      <c r="DB20" s="390"/>
      <c r="DC20" s="390"/>
      <c r="DD20" s="390"/>
    </row>
    <row r="21" spans="1:140" ht="37.5" customHeight="1" x14ac:dyDescent="0.25">
      <c r="A21" s="423">
        <v>15</v>
      </c>
      <c r="B21" s="464" t="s">
        <v>367</v>
      </c>
      <c r="C21" s="401" t="s">
        <v>368</v>
      </c>
      <c r="D21" s="391">
        <v>2801</v>
      </c>
      <c r="E21" s="391">
        <v>2711</v>
      </c>
      <c r="F21" s="391">
        <v>5512</v>
      </c>
      <c r="G21" s="391">
        <v>2781</v>
      </c>
      <c r="H21" s="391">
        <v>2693</v>
      </c>
      <c r="I21" s="391">
        <v>5474</v>
      </c>
      <c r="J21" s="391">
        <v>2322</v>
      </c>
      <c r="K21" s="391">
        <v>2440</v>
      </c>
      <c r="L21" s="391">
        <v>4762</v>
      </c>
      <c r="M21" s="389">
        <v>0.83495145631067957</v>
      </c>
      <c r="N21" s="389">
        <v>0.90605272929818048</v>
      </c>
      <c r="O21" s="389">
        <v>0.86993058092802333</v>
      </c>
      <c r="P21" s="391">
        <v>2322</v>
      </c>
      <c r="Q21" s="391">
        <v>2440</v>
      </c>
      <c r="R21" s="391">
        <v>4762</v>
      </c>
      <c r="S21" s="391">
        <v>1682</v>
      </c>
      <c r="T21" s="391">
        <v>2008</v>
      </c>
      <c r="U21" s="391">
        <v>3690</v>
      </c>
      <c r="V21" s="389">
        <v>0.72437553832902668</v>
      </c>
      <c r="W21" s="389">
        <v>0.82295081967213113</v>
      </c>
      <c r="X21" s="389">
        <v>0.77488450230995376</v>
      </c>
      <c r="Y21" s="391">
        <v>2125</v>
      </c>
      <c r="Z21" s="391">
        <v>2189</v>
      </c>
      <c r="AA21" s="391">
        <v>4314</v>
      </c>
      <c r="AB21" s="391">
        <v>2111</v>
      </c>
      <c r="AC21" s="391">
        <v>2173</v>
      </c>
      <c r="AD21" s="391">
        <v>4284</v>
      </c>
      <c r="AE21" s="391">
        <v>1696</v>
      </c>
      <c r="AF21" s="391">
        <v>1928</v>
      </c>
      <c r="AG21" s="391">
        <v>3624</v>
      </c>
      <c r="AH21" s="389">
        <v>0.80341070582662244</v>
      </c>
      <c r="AI21" s="389">
        <v>0.88725264611136678</v>
      </c>
      <c r="AJ21" s="389">
        <v>0.84593837535014005</v>
      </c>
      <c r="AK21" s="391">
        <v>1696</v>
      </c>
      <c r="AL21" s="391">
        <v>1928</v>
      </c>
      <c r="AM21" s="391">
        <v>3624</v>
      </c>
      <c r="AN21" s="391">
        <v>1114</v>
      </c>
      <c r="AO21" s="391">
        <v>1503</v>
      </c>
      <c r="AP21" s="391">
        <v>2617</v>
      </c>
      <c r="AQ21" s="389">
        <v>0.65683962264150941</v>
      </c>
      <c r="AR21" s="389">
        <v>0.7795643153526971</v>
      </c>
      <c r="AS21" s="389">
        <v>0.72213024282560712</v>
      </c>
      <c r="AT21" s="390"/>
      <c r="AU21" s="390"/>
      <c r="AV21" s="390"/>
      <c r="AW21" s="390"/>
      <c r="AX21" s="390"/>
      <c r="AY21" s="390"/>
      <c r="AZ21" s="390"/>
      <c r="BA21" s="390"/>
      <c r="BB21" s="390"/>
      <c r="BC21" s="390"/>
      <c r="BD21" s="390"/>
      <c r="BE21" s="390"/>
      <c r="BF21" s="390"/>
      <c r="BG21" s="390"/>
      <c r="BH21" s="390"/>
      <c r="BI21" s="390"/>
      <c r="BJ21" s="390"/>
      <c r="BK21" s="390"/>
      <c r="BL21" s="390"/>
      <c r="BM21" s="390"/>
      <c r="BN21" s="390"/>
      <c r="BO21" s="391">
        <v>676</v>
      </c>
      <c r="BP21" s="391">
        <v>522</v>
      </c>
      <c r="BQ21" s="391">
        <v>1198</v>
      </c>
      <c r="BR21" s="391">
        <v>670</v>
      </c>
      <c r="BS21" s="391">
        <v>520</v>
      </c>
      <c r="BT21" s="391">
        <v>1190</v>
      </c>
      <c r="BU21" s="391">
        <v>626</v>
      </c>
      <c r="BV21" s="391">
        <v>512</v>
      </c>
      <c r="BW21" s="391">
        <v>1138</v>
      </c>
      <c r="BX21" s="389">
        <v>0.93432835820895521</v>
      </c>
      <c r="BY21" s="389">
        <v>0.98461538461538467</v>
      </c>
      <c r="BZ21" s="389">
        <v>0.95630252100840341</v>
      </c>
      <c r="CA21" s="391">
        <v>626</v>
      </c>
      <c r="CB21" s="391">
        <v>512</v>
      </c>
      <c r="CC21" s="391">
        <v>1138</v>
      </c>
      <c r="CD21" s="391">
        <v>568</v>
      </c>
      <c r="CE21" s="391">
        <v>505</v>
      </c>
      <c r="CF21" s="391">
        <v>1073</v>
      </c>
      <c r="CG21" s="389">
        <v>0.90734824281150162</v>
      </c>
      <c r="CH21" s="389">
        <v>0.986328125</v>
      </c>
      <c r="CI21" s="389">
        <v>0.94288224956063271</v>
      </c>
      <c r="CJ21" s="390"/>
      <c r="CK21" s="390"/>
      <c r="CL21" s="390"/>
      <c r="CM21" s="390"/>
      <c r="CN21" s="390"/>
      <c r="CO21" s="390"/>
      <c r="CP21" s="390"/>
      <c r="CQ21" s="390"/>
      <c r="CR21" s="390"/>
      <c r="CS21" s="390"/>
      <c r="CT21" s="390"/>
      <c r="CU21" s="390"/>
      <c r="CV21" s="390"/>
      <c r="CW21" s="390"/>
      <c r="CX21" s="390"/>
      <c r="CY21" s="390"/>
      <c r="CZ21" s="390"/>
      <c r="DA21" s="390"/>
      <c r="DB21" s="390"/>
      <c r="DC21" s="390"/>
      <c r="DD21" s="390"/>
    </row>
    <row r="22" spans="1:140" ht="38.25" customHeight="1" x14ac:dyDescent="0.25">
      <c r="A22" s="423">
        <v>16</v>
      </c>
      <c r="B22" s="464" t="s">
        <v>370</v>
      </c>
      <c r="C22" s="401" t="s">
        <v>369</v>
      </c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  <c r="T22" s="393"/>
      <c r="U22" s="393"/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  <c r="AJ22" s="393"/>
      <c r="AK22" s="393"/>
      <c r="AL22" s="393"/>
      <c r="AM22" s="393"/>
      <c r="AN22" s="393"/>
      <c r="AO22" s="393"/>
      <c r="AP22" s="393"/>
      <c r="AQ22" s="393"/>
      <c r="AR22" s="393"/>
      <c r="AS22" s="393"/>
      <c r="AT22" s="390"/>
      <c r="AU22" s="390"/>
      <c r="AV22" s="390"/>
      <c r="AW22" s="390"/>
      <c r="AX22" s="390"/>
      <c r="AY22" s="390"/>
      <c r="AZ22" s="390"/>
      <c r="BA22" s="390"/>
      <c r="BB22" s="390"/>
      <c r="BC22" s="390"/>
      <c r="BD22" s="390"/>
      <c r="BE22" s="390"/>
      <c r="BF22" s="390"/>
      <c r="BG22" s="390"/>
      <c r="BH22" s="390"/>
      <c r="BI22" s="390"/>
      <c r="BJ22" s="390"/>
      <c r="BK22" s="390"/>
      <c r="BL22" s="390"/>
      <c r="BM22" s="390"/>
      <c r="BN22" s="390"/>
      <c r="BO22" s="390"/>
      <c r="BP22" s="390"/>
      <c r="BQ22" s="390"/>
      <c r="BR22" s="390"/>
      <c r="BS22" s="390"/>
      <c r="BT22" s="390"/>
      <c r="BU22" s="390"/>
      <c r="BV22" s="390"/>
      <c r="BW22" s="390"/>
      <c r="BX22" s="390"/>
      <c r="BY22" s="390"/>
      <c r="BZ22" s="390"/>
      <c r="CA22" s="390"/>
      <c r="CB22" s="390"/>
      <c r="CC22" s="390"/>
      <c r="CD22" s="390"/>
      <c r="CE22" s="390"/>
      <c r="CF22" s="390"/>
      <c r="CG22" s="390"/>
      <c r="CH22" s="390"/>
      <c r="CI22" s="390"/>
      <c r="CJ22" s="390"/>
      <c r="CK22" s="390"/>
      <c r="CL22" s="390"/>
      <c r="CM22" s="390"/>
      <c r="CN22" s="390"/>
      <c r="CO22" s="390"/>
      <c r="CP22" s="390"/>
      <c r="CQ22" s="390"/>
      <c r="CR22" s="390"/>
      <c r="CS22" s="390"/>
      <c r="CT22" s="390"/>
      <c r="CU22" s="390"/>
      <c r="CV22" s="390"/>
      <c r="CW22" s="390"/>
      <c r="CX22" s="390"/>
      <c r="CY22" s="390"/>
      <c r="CZ22" s="390"/>
      <c r="DA22" s="390"/>
      <c r="DB22" s="390"/>
      <c r="DC22" s="390"/>
      <c r="DD22" s="390"/>
    </row>
    <row r="23" spans="1:140" ht="34.5" customHeight="1" x14ac:dyDescent="0.25">
      <c r="A23" s="423">
        <v>17</v>
      </c>
      <c r="B23" s="463" t="s">
        <v>371</v>
      </c>
      <c r="C23" s="401" t="s">
        <v>152</v>
      </c>
      <c r="D23" s="415">
        <v>18913</v>
      </c>
      <c r="E23" s="415">
        <v>25133</v>
      </c>
      <c r="F23" s="415">
        <v>44046</v>
      </c>
      <c r="G23" s="415">
        <v>18345</v>
      </c>
      <c r="H23" s="415">
        <v>24352</v>
      </c>
      <c r="I23" s="415">
        <v>42697</v>
      </c>
      <c r="J23" s="415">
        <v>17607</v>
      </c>
      <c r="K23" s="415">
        <v>23508</v>
      </c>
      <c r="L23" s="415">
        <v>41115</v>
      </c>
      <c r="M23" s="389">
        <v>0.9597710547833197</v>
      </c>
      <c r="N23" s="389">
        <v>0.96534165571616293</v>
      </c>
      <c r="O23" s="389">
        <v>0.96294821650233042</v>
      </c>
      <c r="P23" s="415">
        <v>17607</v>
      </c>
      <c r="Q23" s="415">
        <v>23508</v>
      </c>
      <c r="R23" s="415">
        <v>41115</v>
      </c>
      <c r="S23" s="415">
        <v>10333</v>
      </c>
      <c r="T23" s="415">
        <v>14149</v>
      </c>
      <c r="U23" s="415">
        <v>24482</v>
      </c>
      <c r="V23" s="389">
        <v>0.58686885897654339</v>
      </c>
      <c r="W23" s="389">
        <v>0.60188021099200273</v>
      </c>
      <c r="X23" s="389">
        <v>0.59545178158822809</v>
      </c>
      <c r="Y23" s="393"/>
      <c r="Z23" s="393"/>
      <c r="AA23" s="393"/>
      <c r="AB23" s="393"/>
      <c r="AC23" s="393"/>
      <c r="AD23" s="393"/>
      <c r="AE23" s="393"/>
      <c r="AF23" s="393"/>
      <c r="AG23" s="393"/>
      <c r="AH23" s="390"/>
      <c r="AI23" s="390"/>
      <c r="AJ23" s="390"/>
      <c r="AK23" s="390"/>
      <c r="AL23" s="390"/>
      <c r="AM23" s="390"/>
      <c r="AN23" s="390"/>
      <c r="AO23" s="390"/>
      <c r="AP23" s="390"/>
      <c r="AQ23" s="390"/>
      <c r="AR23" s="390"/>
      <c r="AS23" s="390"/>
      <c r="AT23" s="390"/>
      <c r="AU23" s="390"/>
      <c r="AV23" s="390"/>
      <c r="AW23" s="390"/>
      <c r="AX23" s="390"/>
      <c r="AY23" s="390"/>
      <c r="AZ23" s="390"/>
      <c r="BA23" s="390"/>
      <c r="BB23" s="390"/>
      <c r="BC23" s="390"/>
      <c r="BD23" s="390"/>
      <c r="BE23" s="390"/>
      <c r="BF23" s="390"/>
      <c r="BG23" s="390"/>
      <c r="BH23" s="390"/>
      <c r="BI23" s="390"/>
      <c r="BJ23" s="390"/>
      <c r="BK23" s="390"/>
      <c r="BL23" s="390"/>
      <c r="BM23" s="390"/>
      <c r="BN23" s="390"/>
      <c r="BO23" s="390"/>
      <c r="BP23" s="390"/>
      <c r="BQ23" s="390"/>
      <c r="BR23" s="390"/>
      <c r="BS23" s="390"/>
      <c r="BT23" s="390"/>
      <c r="BU23" s="390"/>
      <c r="BV23" s="390"/>
      <c r="BW23" s="390"/>
      <c r="BX23" s="390"/>
      <c r="BY23" s="390"/>
      <c r="BZ23" s="390"/>
      <c r="CA23" s="390"/>
      <c r="CB23" s="390"/>
      <c r="CC23" s="390"/>
      <c r="CD23" s="390"/>
      <c r="CE23" s="390"/>
      <c r="CF23" s="390"/>
      <c r="CG23" s="390"/>
      <c r="CH23" s="390"/>
      <c r="CI23" s="390"/>
      <c r="CJ23" s="390"/>
      <c r="CK23" s="390"/>
      <c r="CL23" s="390"/>
      <c r="CM23" s="390"/>
      <c r="CN23" s="390"/>
      <c r="CO23" s="390"/>
      <c r="CP23" s="390"/>
      <c r="CQ23" s="390"/>
      <c r="CR23" s="390"/>
      <c r="CS23" s="390"/>
      <c r="CT23" s="390"/>
      <c r="CU23" s="390"/>
      <c r="CV23" s="390"/>
      <c r="CW23" s="390"/>
      <c r="CX23" s="390"/>
      <c r="CY23" s="390"/>
      <c r="CZ23" s="390"/>
      <c r="DA23" s="390"/>
      <c r="DB23" s="390"/>
      <c r="DC23" s="390"/>
      <c r="DD23" s="390"/>
    </row>
    <row r="24" spans="1:140" ht="51" customHeight="1" x14ac:dyDescent="0.25">
      <c r="A24" s="423">
        <v>18</v>
      </c>
      <c r="B24" s="463" t="s">
        <v>372</v>
      </c>
      <c r="C24" s="401" t="s">
        <v>153</v>
      </c>
      <c r="D24" s="391">
        <v>40618</v>
      </c>
      <c r="E24" s="391">
        <v>35757</v>
      </c>
      <c r="F24" s="391">
        <v>76375</v>
      </c>
      <c r="G24" s="391">
        <v>39357</v>
      </c>
      <c r="H24" s="391">
        <v>34689</v>
      </c>
      <c r="I24" s="391">
        <v>74046</v>
      </c>
      <c r="J24" s="391">
        <v>29628</v>
      </c>
      <c r="K24" s="391">
        <v>29902</v>
      </c>
      <c r="L24" s="391">
        <v>59530</v>
      </c>
      <c r="M24" s="389">
        <v>0.75280128058541051</v>
      </c>
      <c r="N24" s="389">
        <v>0.86200236386174289</v>
      </c>
      <c r="O24" s="389">
        <v>0.80395970072657541</v>
      </c>
      <c r="P24" s="391">
        <v>29628</v>
      </c>
      <c r="Q24" s="391">
        <v>29902</v>
      </c>
      <c r="R24" s="391">
        <v>59530</v>
      </c>
      <c r="S24" s="391">
        <v>21895</v>
      </c>
      <c r="T24" s="391">
        <v>25161</v>
      </c>
      <c r="U24" s="391">
        <v>47056</v>
      </c>
      <c r="V24" s="389">
        <v>0.7389968948292156</v>
      </c>
      <c r="W24" s="389">
        <v>0.84144873252625241</v>
      </c>
      <c r="X24" s="389">
        <v>0.79045859230640014</v>
      </c>
      <c r="Y24" s="391">
        <v>22887</v>
      </c>
      <c r="Z24" s="391">
        <v>21869</v>
      </c>
      <c r="AA24" s="391">
        <v>44756</v>
      </c>
      <c r="AB24" s="391">
        <v>21964</v>
      </c>
      <c r="AC24" s="391">
        <v>21047</v>
      </c>
      <c r="AD24" s="391">
        <v>43011</v>
      </c>
      <c r="AE24" s="391">
        <v>15752</v>
      </c>
      <c r="AF24" s="391">
        <v>17921</v>
      </c>
      <c r="AG24" s="391">
        <v>33673</v>
      </c>
      <c r="AH24" s="389">
        <v>0.71717355672919325</v>
      </c>
      <c r="AI24" s="389">
        <v>0.85147526963462727</v>
      </c>
      <c r="AJ24" s="389">
        <v>0.78289274836669687</v>
      </c>
      <c r="AK24" s="391">
        <v>15752</v>
      </c>
      <c r="AL24" s="391">
        <v>17921</v>
      </c>
      <c r="AM24" s="391">
        <v>33673</v>
      </c>
      <c r="AN24" s="391">
        <v>11188</v>
      </c>
      <c r="AO24" s="391">
        <v>14880</v>
      </c>
      <c r="AP24" s="391">
        <v>26068</v>
      </c>
      <c r="AQ24" s="389">
        <v>0.71025901472828845</v>
      </c>
      <c r="AR24" s="389">
        <v>0.83031080854863015</v>
      </c>
      <c r="AS24" s="389">
        <v>0.77415139726190119</v>
      </c>
      <c r="AT24" s="391">
        <v>10665</v>
      </c>
      <c r="AU24" s="391">
        <v>8988</v>
      </c>
      <c r="AV24" s="391">
        <v>19653</v>
      </c>
      <c r="AW24" s="391">
        <v>10327</v>
      </c>
      <c r="AX24" s="391">
        <v>8742</v>
      </c>
      <c r="AY24" s="391">
        <v>19069</v>
      </c>
      <c r="AZ24" s="391">
        <v>7912</v>
      </c>
      <c r="BA24" s="391">
        <v>7513</v>
      </c>
      <c r="BB24" s="391">
        <v>15425</v>
      </c>
      <c r="BC24" s="389">
        <v>0.76614699331848557</v>
      </c>
      <c r="BD24" s="389">
        <v>0.85941432166552278</v>
      </c>
      <c r="BE24" s="389">
        <v>0.80890450469348152</v>
      </c>
      <c r="BF24" s="391">
        <v>7912</v>
      </c>
      <c r="BG24" s="391">
        <v>7513</v>
      </c>
      <c r="BH24" s="391">
        <v>15425</v>
      </c>
      <c r="BI24" s="391">
        <v>5657</v>
      </c>
      <c r="BJ24" s="391">
        <v>6206</v>
      </c>
      <c r="BK24" s="391">
        <v>11863</v>
      </c>
      <c r="BL24" s="389">
        <v>0.71498988877654202</v>
      </c>
      <c r="BM24" s="389">
        <v>0.82603487288699584</v>
      </c>
      <c r="BN24" s="389">
        <v>0.76907617504051862</v>
      </c>
      <c r="BO24" s="391">
        <v>7066</v>
      </c>
      <c r="BP24" s="391">
        <v>4900</v>
      </c>
      <c r="BQ24" s="391">
        <v>11966</v>
      </c>
      <c r="BR24" s="391">
        <v>7066</v>
      </c>
      <c r="BS24" s="391">
        <v>4900</v>
      </c>
      <c r="BT24" s="391">
        <v>11966</v>
      </c>
      <c r="BU24" s="391">
        <v>5964</v>
      </c>
      <c r="BV24" s="391">
        <v>4468</v>
      </c>
      <c r="BW24" s="391">
        <v>10432</v>
      </c>
      <c r="BX24" s="389">
        <v>0.84404189074440983</v>
      </c>
      <c r="BY24" s="389">
        <v>0.9118367346938776</v>
      </c>
      <c r="BZ24" s="389">
        <v>0.87180344308875146</v>
      </c>
      <c r="CA24" s="391">
        <v>5964</v>
      </c>
      <c r="CB24" s="391">
        <v>4468</v>
      </c>
      <c r="CC24" s="391">
        <v>10432</v>
      </c>
      <c r="CD24" s="391">
        <v>5050</v>
      </c>
      <c r="CE24" s="391">
        <v>4075</v>
      </c>
      <c r="CF24" s="391">
        <v>9125</v>
      </c>
      <c r="CG24" s="389">
        <v>0.84674714956405095</v>
      </c>
      <c r="CH24" s="389">
        <v>0.91204118173679494</v>
      </c>
      <c r="CI24" s="389">
        <v>0.87471242331288346</v>
      </c>
      <c r="CJ24" s="390"/>
      <c r="CK24" s="390"/>
      <c r="CL24" s="390"/>
      <c r="CM24" s="390"/>
      <c r="CN24" s="390"/>
      <c r="CO24" s="390"/>
      <c r="CP24" s="390"/>
      <c r="CQ24" s="390"/>
      <c r="CR24" s="390"/>
      <c r="CS24" s="390"/>
      <c r="CT24" s="390"/>
      <c r="CU24" s="390"/>
      <c r="CV24" s="390"/>
      <c r="CW24" s="390"/>
      <c r="CX24" s="390"/>
      <c r="CY24" s="390"/>
      <c r="CZ24" s="390"/>
      <c r="DA24" s="390"/>
      <c r="DB24" s="390"/>
      <c r="DC24" s="390"/>
      <c r="DD24" s="390"/>
    </row>
    <row r="25" spans="1:140" ht="36.75" customHeight="1" x14ac:dyDescent="0.25">
      <c r="A25" s="423">
        <v>19</v>
      </c>
      <c r="B25" s="463" t="s">
        <v>373</v>
      </c>
      <c r="C25" s="401" t="s">
        <v>286</v>
      </c>
      <c r="D25" s="391">
        <v>4531</v>
      </c>
      <c r="E25" s="391">
        <v>4282</v>
      </c>
      <c r="F25" s="391">
        <v>8813</v>
      </c>
      <c r="G25" s="391">
        <v>4453</v>
      </c>
      <c r="H25" s="391">
        <v>4248</v>
      </c>
      <c r="I25" s="391">
        <v>8701</v>
      </c>
      <c r="J25" s="391">
        <v>4329</v>
      </c>
      <c r="K25" s="391">
        <v>4169</v>
      </c>
      <c r="L25" s="391">
        <v>8498</v>
      </c>
      <c r="M25" s="389">
        <v>0.97215360431169995</v>
      </c>
      <c r="N25" s="389">
        <v>0.9814030131826742</v>
      </c>
      <c r="O25" s="389">
        <v>0.97666934835076424</v>
      </c>
      <c r="P25" s="391">
        <v>4329</v>
      </c>
      <c r="Q25" s="391">
        <v>4169</v>
      </c>
      <c r="R25" s="391">
        <v>8498</v>
      </c>
      <c r="S25" s="391">
        <v>1899</v>
      </c>
      <c r="T25" s="391">
        <v>2455</v>
      </c>
      <c r="U25" s="391">
        <v>4354</v>
      </c>
      <c r="V25" s="389">
        <v>0.43866943866943869</v>
      </c>
      <c r="W25" s="389">
        <v>0.58887023266970495</v>
      </c>
      <c r="X25" s="389">
        <v>0.51235584843492588</v>
      </c>
      <c r="Y25" s="391">
        <v>3135</v>
      </c>
      <c r="Z25" s="391">
        <v>2913</v>
      </c>
      <c r="AA25" s="391">
        <v>6048</v>
      </c>
      <c r="AB25" s="391">
        <v>3088</v>
      </c>
      <c r="AC25" s="391">
        <v>2895</v>
      </c>
      <c r="AD25" s="391">
        <v>5983</v>
      </c>
      <c r="AE25" s="391">
        <v>2996</v>
      </c>
      <c r="AF25" s="391">
        <v>2842</v>
      </c>
      <c r="AG25" s="391">
        <v>5838</v>
      </c>
      <c r="AH25" s="389">
        <v>0.97020725388601037</v>
      </c>
      <c r="AI25" s="389">
        <v>0.981692573402418</v>
      </c>
      <c r="AJ25" s="389">
        <v>0.97576466655523986</v>
      </c>
      <c r="AK25" s="391">
        <v>2996</v>
      </c>
      <c r="AL25" s="391">
        <v>2842</v>
      </c>
      <c r="AM25" s="391">
        <v>5838</v>
      </c>
      <c r="AN25" s="391">
        <v>1250</v>
      </c>
      <c r="AO25" s="391">
        <v>1616</v>
      </c>
      <c r="AP25" s="391">
        <v>2866</v>
      </c>
      <c r="AQ25" s="389">
        <v>0.41722296395193592</v>
      </c>
      <c r="AR25" s="389">
        <v>0.56861365235749473</v>
      </c>
      <c r="AS25" s="389">
        <v>0.49092154847550529</v>
      </c>
      <c r="AT25" s="391">
        <v>1318</v>
      </c>
      <c r="AU25" s="391">
        <v>1312</v>
      </c>
      <c r="AV25" s="391">
        <v>2630</v>
      </c>
      <c r="AW25" s="391">
        <v>1288</v>
      </c>
      <c r="AX25" s="391">
        <v>1296</v>
      </c>
      <c r="AY25" s="391">
        <v>2584</v>
      </c>
      <c r="AZ25" s="391">
        <v>1256</v>
      </c>
      <c r="BA25" s="391">
        <v>1270</v>
      </c>
      <c r="BB25" s="391">
        <v>2526</v>
      </c>
      <c r="BC25" s="389">
        <v>0.97515527950310554</v>
      </c>
      <c r="BD25" s="389">
        <v>0.97993827160493829</v>
      </c>
      <c r="BE25" s="389">
        <v>0.97755417956656343</v>
      </c>
      <c r="BF25" s="391">
        <v>1256</v>
      </c>
      <c r="BG25" s="391">
        <v>1270</v>
      </c>
      <c r="BH25" s="391">
        <v>2526</v>
      </c>
      <c r="BI25" s="391">
        <v>589</v>
      </c>
      <c r="BJ25" s="391">
        <v>787</v>
      </c>
      <c r="BK25" s="391">
        <v>1376</v>
      </c>
      <c r="BL25" s="389">
        <v>0.46894904458598724</v>
      </c>
      <c r="BM25" s="389">
        <v>0.61968503937007879</v>
      </c>
      <c r="BN25" s="389">
        <v>0.54473475851148057</v>
      </c>
      <c r="BO25" s="391">
        <v>78</v>
      </c>
      <c r="BP25" s="391">
        <v>57</v>
      </c>
      <c r="BQ25" s="391">
        <v>135</v>
      </c>
      <c r="BR25" s="391">
        <v>77</v>
      </c>
      <c r="BS25" s="391">
        <v>57</v>
      </c>
      <c r="BT25" s="391">
        <v>134</v>
      </c>
      <c r="BU25" s="391">
        <v>77</v>
      </c>
      <c r="BV25" s="391">
        <v>57</v>
      </c>
      <c r="BW25" s="391">
        <v>134</v>
      </c>
      <c r="BX25" s="389">
        <v>1</v>
      </c>
      <c r="BY25" s="389">
        <v>1</v>
      </c>
      <c r="BZ25" s="389">
        <v>1</v>
      </c>
      <c r="CA25" s="391">
        <v>77</v>
      </c>
      <c r="CB25" s="391">
        <v>57</v>
      </c>
      <c r="CC25" s="391">
        <v>134</v>
      </c>
      <c r="CD25" s="391">
        <v>60</v>
      </c>
      <c r="CE25" s="391">
        <v>52</v>
      </c>
      <c r="CF25" s="391">
        <v>112</v>
      </c>
      <c r="CG25" s="389">
        <v>0.77922077922077926</v>
      </c>
      <c r="CH25" s="389">
        <v>0.91228070175438591</v>
      </c>
      <c r="CI25" s="389">
        <v>0.83582089552238803</v>
      </c>
      <c r="CJ25" s="390"/>
      <c r="CK25" s="390"/>
      <c r="CL25" s="390"/>
      <c r="CM25" s="390"/>
      <c r="CN25" s="390"/>
      <c r="CO25" s="390"/>
      <c r="CP25" s="390"/>
      <c r="CQ25" s="390"/>
      <c r="CR25" s="390"/>
      <c r="CS25" s="390"/>
      <c r="CT25" s="390"/>
      <c r="CU25" s="390"/>
      <c r="CV25" s="390"/>
      <c r="CW25" s="390"/>
      <c r="CX25" s="390"/>
      <c r="CY25" s="390"/>
      <c r="CZ25" s="390"/>
      <c r="DA25" s="390"/>
      <c r="DB25" s="390"/>
      <c r="DC25" s="390"/>
      <c r="DD25" s="390"/>
    </row>
    <row r="26" spans="1:140" s="377" customFormat="1" ht="36.75" customHeight="1" x14ac:dyDescent="0.25">
      <c r="A26" s="423">
        <v>20</v>
      </c>
      <c r="B26" s="487" t="s">
        <v>375</v>
      </c>
      <c r="C26" s="401" t="s">
        <v>349</v>
      </c>
      <c r="D26" s="391">
        <v>101800</v>
      </c>
      <c r="E26" s="391">
        <v>95586</v>
      </c>
      <c r="F26" s="391">
        <v>197386</v>
      </c>
      <c r="G26" s="391">
        <v>94302</v>
      </c>
      <c r="H26" s="391">
        <v>91300</v>
      </c>
      <c r="I26" s="391">
        <v>185602</v>
      </c>
      <c r="J26" s="391">
        <v>51828</v>
      </c>
      <c r="K26" s="391">
        <v>55501</v>
      </c>
      <c r="L26" s="391">
        <v>107329</v>
      </c>
      <c r="M26" s="389">
        <v>0.5495959788763759</v>
      </c>
      <c r="N26" s="389">
        <v>0.60789704271631984</v>
      </c>
      <c r="O26" s="389">
        <v>0.57827501858816177</v>
      </c>
      <c r="P26" s="391">
        <v>51828</v>
      </c>
      <c r="Q26" s="391">
        <v>55501</v>
      </c>
      <c r="R26" s="391">
        <v>107329</v>
      </c>
      <c r="S26" s="391">
        <v>19093</v>
      </c>
      <c r="T26" s="391">
        <v>24969</v>
      </c>
      <c r="U26" s="391">
        <v>44062</v>
      </c>
      <c r="V26" s="389">
        <v>0.36839160299452034</v>
      </c>
      <c r="W26" s="389">
        <v>0.44988378587773192</v>
      </c>
      <c r="X26" s="389">
        <v>0.41053210222772968</v>
      </c>
      <c r="Y26" s="391">
        <v>91910</v>
      </c>
      <c r="Z26" s="391">
        <v>89464</v>
      </c>
      <c r="AA26" s="391">
        <v>181374</v>
      </c>
      <c r="AB26" s="391">
        <v>84996</v>
      </c>
      <c r="AC26" s="391">
        <v>85408</v>
      </c>
      <c r="AD26" s="391">
        <v>170404</v>
      </c>
      <c r="AE26" s="391">
        <v>46111</v>
      </c>
      <c r="AF26" s="391">
        <v>51583</v>
      </c>
      <c r="AG26" s="391">
        <v>97694</v>
      </c>
      <c r="AH26" s="389">
        <v>0.54250788272389294</v>
      </c>
      <c r="AI26" s="389">
        <v>0.60395981641064067</v>
      </c>
      <c r="AJ26" s="389">
        <v>0.57330813830661254</v>
      </c>
      <c r="AK26" s="391">
        <v>46111</v>
      </c>
      <c r="AL26" s="391">
        <v>51583</v>
      </c>
      <c r="AM26" s="391">
        <v>97694</v>
      </c>
      <c r="AN26" s="391">
        <v>15966</v>
      </c>
      <c r="AO26" s="391">
        <v>22448</v>
      </c>
      <c r="AP26" s="391">
        <v>38414</v>
      </c>
      <c r="AQ26" s="389">
        <v>0.34625143675045</v>
      </c>
      <c r="AR26" s="389">
        <v>0.43518213364868269</v>
      </c>
      <c r="AS26" s="389">
        <v>0.3932073617622372</v>
      </c>
      <c r="AT26" s="390"/>
      <c r="AU26" s="390"/>
      <c r="AV26" s="390"/>
      <c r="AW26" s="390"/>
      <c r="AX26" s="390"/>
      <c r="AY26" s="390"/>
      <c r="AZ26" s="390"/>
      <c r="BA26" s="390"/>
      <c r="BB26" s="390"/>
      <c r="BC26" s="390"/>
      <c r="BD26" s="390"/>
      <c r="BE26" s="390"/>
      <c r="BF26" s="390"/>
      <c r="BG26" s="390"/>
      <c r="BH26" s="390"/>
      <c r="BI26" s="390"/>
      <c r="BJ26" s="390"/>
      <c r="BK26" s="390"/>
      <c r="BL26" s="390"/>
      <c r="BM26" s="390"/>
      <c r="BN26" s="390"/>
      <c r="BO26" s="391">
        <v>9890</v>
      </c>
      <c r="BP26" s="391">
        <v>6122</v>
      </c>
      <c r="BQ26" s="391">
        <v>16012</v>
      </c>
      <c r="BR26" s="391">
        <v>9306</v>
      </c>
      <c r="BS26" s="391">
        <v>5892</v>
      </c>
      <c r="BT26" s="391">
        <v>15198</v>
      </c>
      <c r="BU26" s="391">
        <v>5717</v>
      </c>
      <c r="BV26" s="391">
        <v>3918</v>
      </c>
      <c r="BW26" s="391">
        <v>9635</v>
      </c>
      <c r="BX26" s="389">
        <v>0.61433483773909303</v>
      </c>
      <c r="BY26" s="389">
        <v>0.66496945010183295</v>
      </c>
      <c r="BZ26" s="389">
        <v>0.63396499539413076</v>
      </c>
      <c r="CA26" s="391">
        <v>5717</v>
      </c>
      <c r="CB26" s="391">
        <v>3918</v>
      </c>
      <c r="CC26" s="391">
        <v>9635</v>
      </c>
      <c r="CD26" s="391">
        <v>3127</v>
      </c>
      <c r="CE26" s="391">
        <v>2521</v>
      </c>
      <c r="CF26" s="391">
        <v>5648</v>
      </c>
      <c r="CG26" s="389">
        <v>0.54696519153402134</v>
      </c>
      <c r="CH26" s="389">
        <v>0.6434405308831036</v>
      </c>
      <c r="CI26" s="389">
        <v>0.5861961598339388</v>
      </c>
      <c r="CJ26" s="390"/>
      <c r="CK26" s="390"/>
      <c r="CL26" s="390"/>
      <c r="CM26" s="390"/>
      <c r="CN26" s="390"/>
      <c r="CO26" s="390"/>
      <c r="CP26" s="390"/>
      <c r="CQ26" s="390"/>
      <c r="CR26" s="390"/>
      <c r="CS26" s="390"/>
      <c r="CT26" s="390"/>
      <c r="CU26" s="390"/>
      <c r="CV26" s="390"/>
      <c r="CW26" s="390"/>
      <c r="CX26" s="390"/>
      <c r="CY26" s="390"/>
      <c r="CZ26" s="390"/>
      <c r="DA26" s="390"/>
      <c r="DB26" s="390"/>
      <c r="DC26" s="390"/>
      <c r="DD26" s="390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H26"/>
      <c r="EI26"/>
      <c r="EJ26"/>
    </row>
    <row r="27" spans="1:140" s="362" customFormat="1" ht="47.25" customHeight="1" x14ac:dyDescent="0.25">
      <c r="A27" s="423">
        <v>21</v>
      </c>
      <c r="B27" s="487"/>
      <c r="C27" s="401" t="s">
        <v>157</v>
      </c>
      <c r="D27" s="391">
        <v>137</v>
      </c>
      <c r="E27" s="391">
        <v>137</v>
      </c>
      <c r="F27" s="391">
        <v>274</v>
      </c>
      <c r="G27" s="391">
        <v>134</v>
      </c>
      <c r="H27" s="391">
        <v>136</v>
      </c>
      <c r="I27" s="391">
        <v>270</v>
      </c>
      <c r="J27" s="391">
        <v>82</v>
      </c>
      <c r="K27" s="391">
        <v>88</v>
      </c>
      <c r="L27" s="391">
        <v>170</v>
      </c>
      <c r="M27" s="389">
        <v>0.61194029850746268</v>
      </c>
      <c r="N27" s="389">
        <v>0.6470588235294118</v>
      </c>
      <c r="O27" s="389">
        <v>0.62962962962962965</v>
      </c>
      <c r="P27" s="391">
        <v>82</v>
      </c>
      <c r="Q27" s="391">
        <v>88</v>
      </c>
      <c r="R27" s="391">
        <v>170</v>
      </c>
      <c r="S27" s="391">
        <v>49</v>
      </c>
      <c r="T27" s="391">
        <v>32</v>
      </c>
      <c r="U27" s="391">
        <v>81</v>
      </c>
      <c r="V27" s="389">
        <v>0.59756097560975607</v>
      </c>
      <c r="W27" s="389">
        <v>0.36363636363636365</v>
      </c>
      <c r="X27" s="389">
        <v>0.47647058823529409</v>
      </c>
      <c r="Y27" s="391">
        <v>6</v>
      </c>
      <c r="Z27" s="391">
        <v>14</v>
      </c>
      <c r="AA27" s="391">
        <v>20</v>
      </c>
      <c r="AB27" s="391">
        <v>4</v>
      </c>
      <c r="AC27" s="391">
        <v>14</v>
      </c>
      <c r="AD27" s="391">
        <v>18</v>
      </c>
      <c r="AE27" s="391">
        <v>0</v>
      </c>
      <c r="AF27" s="391">
        <v>11</v>
      </c>
      <c r="AG27" s="391">
        <v>11</v>
      </c>
      <c r="AH27" s="389">
        <v>0</v>
      </c>
      <c r="AI27" s="389">
        <v>0.7857142857142857</v>
      </c>
      <c r="AJ27" s="389">
        <v>0.61111111111111116</v>
      </c>
      <c r="AK27" s="391">
        <v>0</v>
      </c>
      <c r="AL27" s="391">
        <v>11</v>
      </c>
      <c r="AM27" s="391">
        <v>11</v>
      </c>
      <c r="AN27" s="391">
        <v>0</v>
      </c>
      <c r="AO27" s="391">
        <v>3</v>
      </c>
      <c r="AP27" s="391">
        <v>3</v>
      </c>
      <c r="AQ27" s="393"/>
      <c r="AR27" s="389">
        <v>0.27272727272727271</v>
      </c>
      <c r="AS27" s="389">
        <v>0.27272727272727271</v>
      </c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  <c r="BK27" s="390"/>
      <c r="BL27" s="390"/>
      <c r="BM27" s="390"/>
      <c r="BN27" s="390"/>
      <c r="BO27" s="391">
        <v>131</v>
      </c>
      <c r="BP27" s="391">
        <v>123</v>
      </c>
      <c r="BQ27" s="391">
        <v>254</v>
      </c>
      <c r="BR27" s="391">
        <v>130</v>
      </c>
      <c r="BS27" s="391">
        <v>122</v>
      </c>
      <c r="BT27" s="391">
        <v>252</v>
      </c>
      <c r="BU27" s="391">
        <v>82</v>
      </c>
      <c r="BV27" s="391">
        <v>77</v>
      </c>
      <c r="BW27" s="391">
        <v>159</v>
      </c>
      <c r="BX27" s="389">
        <v>0.63076923076923075</v>
      </c>
      <c r="BY27" s="389">
        <v>0.63114754098360659</v>
      </c>
      <c r="BZ27" s="389">
        <v>0.63095238095238093</v>
      </c>
      <c r="CA27" s="391">
        <v>82</v>
      </c>
      <c r="CB27" s="391">
        <v>77</v>
      </c>
      <c r="CC27" s="391">
        <v>159</v>
      </c>
      <c r="CD27" s="391">
        <v>49</v>
      </c>
      <c r="CE27" s="391">
        <v>29</v>
      </c>
      <c r="CF27" s="391">
        <v>78</v>
      </c>
      <c r="CG27" s="389">
        <v>0.59756097560975607</v>
      </c>
      <c r="CH27" s="389">
        <v>0.37662337662337664</v>
      </c>
      <c r="CI27" s="389">
        <v>0.49056603773584906</v>
      </c>
      <c r="CJ27" s="390"/>
      <c r="CK27" s="390"/>
      <c r="CL27" s="390"/>
      <c r="CM27" s="390"/>
      <c r="CN27" s="390"/>
      <c r="CO27" s="390"/>
      <c r="CP27" s="390"/>
      <c r="CQ27" s="390"/>
      <c r="CR27" s="390"/>
      <c r="CS27" s="390"/>
      <c r="CT27" s="390"/>
      <c r="CU27" s="390"/>
      <c r="CV27" s="390"/>
      <c r="CW27" s="390"/>
      <c r="CX27" s="390"/>
      <c r="CY27" s="390"/>
      <c r="CZ27" s="390"/>
      <c r="DA27" s="390"/>
      <c r="DB27" s="390"/>
      <c r="DC27" s="390"/>
      <c r="DD27" s="390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H27"/>
      <c r="EI27"/>
      <c r="EJ27"/>
    </row>
    <row r="28" spans="1:140" ht="50.25" customHeight="1" x14ac:dyDescent="0.25">
      <c r="A28" s="423">
        <v>22</v>
      </c>
      <c r="B28" s="463" t="s">
        <v>374</v>
      </c>
      <c r="C28" s="401" t="s">
        <v>348</v>
      </c>
      <c r="D28" s="393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  <c r="T28" s="393"/>
      <c r="U28" s="393"/>
      <c r="V28" s="393"/>
      <c r="W28" s="393"/>
      <c r="X28" s="393"/>
      <c r="Y28" s="393"/>
      <c r="Z28" s="393"/>
      <c r="AA28" s="393"/>
      <c r="AB28" s="393"/>
      <c r="AC28" s="393"/>
      <c r="AD28" s="393"/>
      <c r="AE28" s="393"/>
      <c r="AF28" s="393"/>
      <c r="AG28" s="393"/>
      <c r="AH28" s="390"/>
      <c r="AI28" s="390"/>
      <c r="AJ28" s="390"/>
      <c r="AK28" s="390"/>
      <c r="AL28" s="390"/>
      <c r="AM28" s="390"/>
      <c r="AN28" s="390"/>
      <c r="AO28" s="390"/>
      <c r="AP28" s="390"/>
      <c r="AQ28" s="390"/>
      <c r="AR28" s="390"/>
      <c r="AS28" s="390"/>
      <c r="AT28" s="390"/>
      <c r="AU28" s="390"/>
      <c r="AV28" s="390"/>
      <c r="AW28" s="390"/>
      <c r="AX28" s="390"/>
      <c r="AY28" s="390"/>
      <c r="AZ28" s="390"/>
      <c r="BA28" s="390"/>
      <c r="BB28" s="390"/>
      <c r="BC28" s="390"/>
      <c r="BD28" s="390"/>
      <c r="BE28" s="390"/>
      <c r="BF28" s="390"/>
      <c r="BG28" s="390"/>
      <c r="BH28" s="390"/>
      <c r="BI28" s="390"/>
      <c r="BJ28" s="390"/>
      <c r="BK28" s="390"/>
      <c r="BL28" s="390"/>
      <c r="BM28" s="390"/>
      <c r="BN28" s="390"/>
      <c r="BO28" s="390">
        <v>81309</v>
      </c>
      <c r="BP28" s="390">
        <v>69504</v>
      </c>
      <c r="BQ28" s="390">
        <v>150813</v>
      </c>
      <c r="BR28" s="390">
        <v>78186</v>
      </c>
      <c r="BS28" s="390">
        <v>67411</v>
      </c>
      <c r="BT28" s="390">
        <v>145597</v>
      </c>
      <c r="BU28" s="390">
        <v>72913</v>
      </c>
      <c r="BV28" s="390">
        <v>64631</v>
      </c>
      <c r="BW28" s="390">
        <v>137544</v>
      </c>
      <c r="BX28" s="390"/>
      <c r="BY28" s="390"/>
      <c r="BZ28" s="390"/>
      <c r="CA28" s="390"/>
      <c r="CB28" s="390"/>
      <c r="CC28" s="390"/>
      <c r="CD28" s="390"/>
      <c r="CE28" s="390"/>
      <c r="CF28" s="390"/>
      <c r="CG28" s="390"/>
      <c r="CH28" s="390"/>
      <c r="CI28" s="390"/>
      <c r="CJ28" s="390"/>
      <c r="CK28" s="390"/>
      <c r="CL28" s="390"/>
      <c r="CM28" s="390"/>
      <c r="CN28" s="390"/>
      <c r="CO28" s="390"/>
      <c r="CP28" s="390"/>
      <c r="CQ28" s="390"/>
      <c r="CR28" s="390"/>
      <c r="CS28" s="390"/>
      <c r="CT28" s="390"/>
      <c r="CU28" s="390"/>
      <c r="CV28" s="390"/>
      <c r="CW28" s="390"/>
      <c r="CX28" s="390"/>
      <c r="CY28" s="390"/>
      <c r="CZ28" s="390"/>
      <c r="DA28" s="390"/>
      <c r="DB28" s="390"/>
      <c r="DC28" s="390"/>
      <c r="DD28" s="390"/>
    </row>
    <row r="29" spans="1:140" ht="38.25" customHeight="1" x14ac:dyDescent="0.25">
      <c r="A29" s="423">
        <v>23</v>
      </c>
      <c r="B29" s="463" t="s">
        <v>376</v>
      </c>
      <c r="C29" s="401" t="s">
        <v>141</v>
      </c>
      <c r="D29" s="391">
        <v>7355</v>
      </c>
      <c r="E29" s="391">
        <v>7338</v>
      </c>
      <c r="F29" s="391">
        <v>14693</v>
      </c>
      <c r="G29" s="391">
        <v>7234</v>
      </c>
      <c r="H29" s="391">
        <v>7247</v>
      </c>
      <c r="I29" s="391">
        <v>14481</v>
      </c>
      <c r="J29" s="391">
        <v>4943</v>
      </c>
      <c r="K29" s="391">
        <v>5009</v>
      </c>
      <c r="L29" s="391">
        <v>9952</v>
      </c>
      <c r="M29" s="389">
        <v>0.68330107824163666</v>
      </c>
      <c r="N29" s="389">
        <v>0.6911825582999862</v>
      </c>
      <c r="O29" s="389">
        <v>0.68724535598370273</v>
      </c>
      <c r="P29" s="391">
        <v>4943</v>
      </c>
      <c r="Q29" s="391">
        <v>5009</v>
      </c>
      <c r="R29" s="391">
        <v>9952</v>
      </c>
      <c r="S29" s="391">
        <v>2465</v>
      </c>
      <c r="T29" s="391">
        <v>2916</v>
      </c>
      <c r="U29" s="391">
        <v>5381</v>
      </c>
      <c r="V29" s="389">
        <v>0.49868500910378311</v>
      </c>
      <c r="W29" s="389">
        <v>0.58215212617288881</v>
      </c>
      <c r="X29" s="389">
        <v>0.54069533762057875</v>
      </c>
      <c r="Y29" s="391">
        <v>1708</v>
      </c>
      <c r="Z29" s="391">
        <v>1711</v>
      </c>
      <c r="AA29" s="391">
        <v>3419</v>
      </c>
      <c r="AB29" s="391">
        <v>1646</v>
      </c>
      <c r="AC29" s="391">
        <v>1655</v>
      </c>
      <c r="AD29" s="391">
        <v>3301</v>
      </c>
      <c r="AE29" s="391">
        <v>1002</v>
      </c>
      <c r="AF29" s="391">
        <v>938</v>
      </c>
      <c r="AG29" s="391">
        <v>1940</v>
      </c>
      <c r="AH29" s="389">
        <v>0.60874848116646418</v>
      </c>
      <c r="AI29" s="389">
        <v>0.56676737160120849</v>
      </c>
      <c r="AJ29" s="389">
        <v>0.58770069675855796</v>
      </c>
      <c r="AK29" s="391">
        <v>1002</v>
      </c>
      <c r="AL29" s="391">
        <v>938</v>
      </c>
      <c r="AM29" s="391">
        <v>1940</v>
      </c>
      <c r="AN29" s="391">
        <v>480</v>
      </c>
      <c r="AO29" s="391">
        <v>476</v>
      </c>
      <c r="AP29" s="391">
        <v>956</v>
      </c>
      <c r="AQ29" s="389">
        <v>0.47904191616766467</v>
      </c>
      <c r="AR29" s="389">
        <v>0.5074626865671642</v>
      </c>
      <c r="AS29" s="389">
        <v>0.4927835051546392</v>
      </c>
      <c r="AT29" s="391">
        <v>187</v>
      </c>
      <c r="AU29" s="391">
        <v>211</v>
      </c>
      <c r="AV29" s="391">
        <v>398</v>
      </c>
      <c r="AW29" s="391">
        <v>185</v>
      </c>
      <c r="AX29" s="391">
        <v>208</v>
      </c>
      <c r="AY29" s="391">
        <v>393</v>
      </c>
      <c r="AZ29" s="391">
        <v>152</v>
      </c>
      <c r="BA29" s="391">
        <v>165</v>
      </c>
      <c r="BB29" s="391">
        <v>317</v>
      </c>
      <c r="BC29" s="389">
        <v>0.82162162162162167</v>
      </c>
      <c r="BD29" s="389">
        <v>0.79326923076923073</v>
      </c>
      <c r="BE29" s="389">
        <v>0.80661577608142498</v>
      </c>
      <c r="BF29" s="391">
        <v>152</v>
      </c>
      <c r="BG29" s="391">
        <v>165</v>
      </c>
      <c r="BH29" s="391">
        <v>317</v>
      </c>
      <c r="BI29" s="391">
        <v>77</v>
      </c>
      <c r="BJ29" s="391">
        <v>119</v>
      </c>
      <c r="BK29" s="391">
        <v>196</v>
      </c>
      <c r="BL29" s="389">
        <v>0.50657894736842102</v>
      </c>
      <c r="BM29" s="389">
        <v>0.72121212121212119</v>
      </c>
      <c r="BN29" s="389">
        <v>0.6182965299684543</v>
      </c>
      <c r="BO29" s="391">
        <v>5460</v>
      </c>
      <c r="BP29" s="391">
        <v>5416</v>
      </c>
      <c r="BQ29" s="391">
        <v>10876</v>
      </c>
      <c r="BR29" s="391">
        <v>5403</v>
      </c>
      <c r="BS29" s="391">
        <v>5384</v>
      </c>
      <c r="BT29" s="391">
        <v>10787</v>
      </c>
      <c r="BU29" s="391">
        <v>3789</v>
      </c>
      <c r="BV29" s="391">
        <v>3906</v>
      </c>
      <c r="BW29" s="391">
        <v>7695</v>
      </c>
      <c r="BX29" s="389">
        <v>0.70127706829539149</v>
      </c>
      <c r="BY29" s="389">
        <v>0.72548291233283801</v>
      </c>
      <c r="BZ29" s="389">
        <v>0.71335867247612872</v>
      </c>
      <c r="CA29" s="391">
        <v>3789</v>
      </c>
      <c r="CB29" s="391">
        <v>3906</v>
      </c>
      <c r="CC29" s="391">
        <v>7695</v>
      </c>
      <c r="CD29" s="391">
        <v>1908</v>
      </c>
      <c r="CE29" s="391">
        <v>2321</v>
      </c>
      <c r="CF29" s="391">
        <v>4229</v>
      </c>
      <c r="CG29" s="389">
        <v>0.50356294536817103</v>
      </c>
      <c r="CH29" s="389">
        <v>0.59421402969790071</v>
      </c>
      <c r="CI29" s="389">
        <v>0.54957764782326191</v>
      </c>
      <c r="CJ29" s="390"/>
      <c r="CK29" s="390"/>
      <c r="CL29" s="390"/>
      <c r="CM29" s="390"/>
      <c r="CN29" s="390"/>
      <c r="CO29" s="390"/>
      <c r="CP29" s="390"/>
      <c r="CQ29" s="390"/>
      <c r="CR29" s="390"/>
      <c r="CS29" s="390"/>
      <c r="CT29" s="390"/>
      <c r="CU29" s="390"/>
      <c r="CV29" s="390"/>
      <c r="CW29" s="390"/>
      <c r="CX29" s="390"/>
      <c r="CY29" s="390"/>
      <c r="CZ29" s="390"/>
      <c r="DA29" s="390"/>
      <c r="DB29" s="390"/>
      <c r="DC29" s="390"/>
      <c r="DD29" s="390"/>
    </row>
    <row r="30" spans="1:140" ht="38.25" customHeight="1" x14ac:dyDescent="0.25">
      <c r="A30" s="423">
        <v>24</v>
      </c>
      <c r="B30" s="463" t="s">
        <v>377</v>
      </c>
      <c r="C30" s="401" t="s">
        <v>158</v>
      </c>
      <c r="D30" s="391">
        <v>23354</v>
      </c>
      <c r="E30" s="391">
        <v>31360</v>
      </c>
      <c r="F30" s="391">
        <v>54714</v>
      </c>
      <c r="G30" s="391">
        <v>22687</v>
      </c>
      <c r="H30" s="391">
        <v>30777</v>
      </c>
      <c r="I30" s="391">
        <v>53464</v>
      </c>
      <c r="J30" s="391">
        <v>11912</v>
      </c>
      <c r="K30" s="391">
        <v>17857</v>
      </c>
      <c r="L30" s="391">
        <v>29769</v>
      </c>
      <c r="M30" s="389">
        <v>0.52505840349098598</v>
      </c>
      <c r="N30" s="389">
        <v>0.58020599798550865</v>
      </c>
      <c r="O30" s="389">
        <v>0.55680457878198419</v>
      </c>
      <c r="P30" s="391">
        <v>11912</v>
      </c>
      <c r="Q30" s="391">
        <v>17857</v>
      </c>
      <c r="R30" s="391">
        <v>29769</v>
      </c>
      <c r="S30" s="391">
        <v>1554</v>
      </c>
      <c r="T30" s="391">
        <v>2436</v>
      </c>
      <c r="U30" s="391">
        <v>3990</v>
      </c>
      <c r="V30" s="389">
        <v>0.13045668233713903</v>
      </c>
      <c r="W30" s="389">
        <v>0.13641709133673069</v>
      </c>
      <c r="X30" s="389">
        <v>0.1340320467600524</v>
      </c>
      <c r="Y30" s="391">
        <v>2092</v>
      </c>
      <c r="Z30" s="391">
        <v>2523</v>
      </c>
      <c r="AA30" s="391">
        <v>4615</v>
      </c>
      <c r="AB30" s="391">
        <v>1991</v>
      </c>
      <c r="AC30" s="391">
        <v>2445</v>
      </c>
      <c r="AD30" s="391">
        <v>4436</v>
      </c>
      <c r="AE30" s="391">
        <v>731</v>
      </c>
      <c r="AF30" s="391">
        <v>904</v>
      </c>
      <c r="AG30" s="391">
        <v>1635</v>
      </c>
      <c r="AH30" s="389">
        <v>0.36715218483174283</v>
      </c>
      <c r="AI30" s="389">
        <v>0.36973415132924337</v>
      </c>
      <c r="AJ30" s="389">
        <v>0.36857529305680792</v>
      </c>
      <c r="AK30" s="391">
        <v>731</v>
      </c>
      <c r="AL30" s="391">
        <v>904</v>
      </c>
      <c r="AM30" s="391">
        <v>1635</v>
      </c>
      <c r="AN30" s="391">
        <v>42</v>
      </c>
      <c r="AO30" s="391">
        <v>41</v>
      </c>
      <c r="AP30" s="391">
        <v>83</v>
      </c>
      <c r="AQ30" s="389">
        <v>5.7455540355677154E-2</v>
      </c>
      <c r="AR30" s="389">
        <v>4.5353982300884957E-2</v>
      </c>
      <c r="AS30" s="389">
        <v>5.0764525993883793E-2</v>
      </c>
      <c r="AT30" s="390"/>
      <c r="AU30" s="390"/>
      <c r="AV30" s="390"/>
      <c r="AW30" s="390"/>
      <c r="AX30" s="390"/>
      <c r="AY30" s="390"/>
      <c r="AZ30" s="390"/>
      <c r="BA30" s="390"/>
      <c r="BB30" s="390"/>
      <c r="BC30" s="390"/>
      <c r="BD30" s="390"/>
      <c r="BE30" s="390"/>
      <c r="BF30" s="390"/>
      <c r="BG30" s="390"/>
      <c r="BH30" s="390"/>
      <c r="BI30" s="390"/>
      <c r="BJ30" s="390"/>
      <c r="BK30" s="390"/>
      <c r="BL30" s="390"/>
      <c r="BM30" s="390"/>
      <c r="BN30" s="390"/>
      <c r="BO30" s="390"/>
      <c r="BP30" s="390"/>
      <c r="BQ30" s="390"/>
      <c r="BR30" s="390"/>
      <c r="BS30" s="390"/>
      <c r="BT30" s="390"/>
      <c r="BU30" s="390"/>
      <c r="BV30" s="390"/>
      <c r="BW30" s="390"/>
      <c r="BX30" s="390"/>
      <c r="BY30" s="390"/>
      <c r="BZ30" s="390"/>
      <c r="CA30" s="390"/>
      <c r="CB30" s="390"/>
      <c r="CC30" s="390"/>
      <c r="CD30" s="390"/>
      <c r="CE30" s="390"/>
      <c r="CF30" s="390"/>
      <c r="CG30" s="390"/>
      <c r="CH30" s="390"/>
      <c r="CI30" s="390"/>
      <c r="CJ30" s="390"/>
      <c r="CK30" s="390"/>
      <c r="CL30" s="390"/>
      <c r="CM30" s="390"/>
      <c r="CN30" s="390"/>
      <c r="CO30" s="390"/>
      <c r="CP30" s="390"/>
      <c r="CQ30" s="390"/>
      <c r="CR30" s="390"/>
      <c r="CS30" s="390"/>
      <c r="CT30" s="390"/>
      <c r="CU30" s="390"/>
      <c r="CV30" s="390"/>
      <c r="CW30" s="390"/>
      <c r="CX30" s="390"/>
      <c r="CY30" s="390"/>
      <c r="CZ30" s="390"/>
      <c r="DA30" s="390"/>
      <c r="DB30" s="390"/>
      <c r="DC30" s="390"/>
      <c r="DD30" s="390"/>
    </row>
    <row r="31" spans="1:140" ht="36.75" customHeight="1" x14ac:dyDescent="0.25">
      <c r="A31" s="423">
        <v>25</v>
      </c>
      <c r="B31" s="463" t="s">
        <v>378</v>
      </c>
      <c r="C31" s="401" t="s">
        <v>159</v>
      </c>
      <c r="D31" s="391">
        <v>8616</v>
      </c>
      <c r="E31" s="391">
        <v>9519</v>
      </c>
      <c r="F31" s="391">
        <v>18135</v>
      </c>
      <c r="G31" s="391">
        <v>8156</v>
      </c>
      <c r="H31" s="391">
        <v>9126</v>
      </c>
      <c r="I31" s="391">
        <v>17282</v>
      </c>
      <c r="J31" s="391">
        <v>5841</v>
      </c>
      <c r="K31" s="391">
        <v>6341</v>
      </c>
      <c r="L31" s="391">
        <v>12182</v>
      </c>
      <c r="M31" s="389">
        <v>0.71615988229524274</v>
      </c>
      <c r="N31" s="389">
        <v>0.69482796405873326</v>
      </c>
      <c r="O31" s="389">
        <v>0.70489526675153336</v>
      </c>
      <c r="P31" s="391">
        <v>5841</v>
      </c>
      <c r="Q31" s="391">
        <v>6341</v>
      </c>
      <c r="R31" s="391">
        <v>12182</v>
      </c>
      <c r="S31" s="391">
        <v>2299</v>
      </c>
      <c r="T31" s="391">
        <v>2768</v>
      </c>
      <c r="U31" s="391">
        <v>5067</v>
      </c>
      <c r="V31" s="389">
        <v>0.3935969868173258</v>
      </c>
      <c r="W31" s="389">
        <v>0.43652420753824317</v>
      </c>
      <c r="X31" s="389">
        <v>0.41594155311114761</v>
      </c>
      <c r="Y31" s="391">
        <v>2747</v>
      </c>
      <c r="Z31" s="391">
        <v>3047</v>
      </c>
      <c r="AA31" s="391">
        <v>5794</v>
      </c>
      <c r="AB31" s="391">
        <v>2566</v>
      </c>
      <c r="AC31" s="391">
        <v>2893</v>
      </c>
      <c r="AD31" s="391">
        <v>5459</v>
      </c>
      <c r="AE31" s="391">
        <v>1536</v>
      </c>
      <c r="AF31" s="391">
        <v>1642</v>
      </c>
      <c r="AG31" s="391">
        <v>3178</v>
      </c>
      <c r="AH31" s="389">
        <v>0.59859703819173815</v>
      </c>
      <c r="AI31" s="389">
        <v>0.56757690978223296</v>
      </c>
      <c r="AJ31" s="389">
        <v>0.58215790437809123</v>
      </c>
      <c r="AK31" s="391">
        <v>1536</v>
      </c>
      <c r="AL31" s="391">
        <v>1642</v>
      </c>
      <c r="AM31" s="391">
        <v>3178</v>
      </c>
      <c r="AN31" s="391">
        <v>320</v>
      </c>
      <c r="AO31" s="391">
        <v>412</v>
      </c>
      <c r="AP31" s="391">
        <v>732</v>
      </c>
      <c r="AQ31" s="389">
        <v>0.20833333333333334</v>
      </c>
      <c r="AR31" s="389">
        <v>0.25091352009744217</v>
      </c>
      <c r="AS31" s="389">
        <v>0.2303335431088735</v>
      </c>
      <c r="AT31" s="391">
        <v>1800</v>
      </c>
      <c r="AU31" s="391">
        <v>2248</v>
      </c>
      <c r="AV31" s="391">
        <v>4048</v>
      </c>
      <c r="AW31" s="391">
        <v>1707</v>
      </c>
      <c r="AX31" s="391">
        <v>2160</v>
      </c>
      <c r="AY31" s="391">
        <v>3867</v>
      </c>
      <c r="AZ31" s="391">
        <v>1253</v>
      </c>
      <c r="BA31" s="391">
        <v>1512</v>
      </c>
      <c r="BB31" s="391">
        <v>2765</v>
      </c>
      <c r="BC31" s="389">
        <v>0.73403632103104866</v>
      </c>
      <c r="BD31" s="389">
        <v>0.7</v>
      </c>
      <c r="BE31" s="389">
        <v>0.71502456684768556</v>
      </c>
      <c r="BF31" s="391">
        <v>1253</v>
      </c>
      <c r="BG31" s="391">
        <v>1512</v>
      </c>
      <c r="BH31" s="391">
        <v>2765</v>
      </c>
      <c r="BI31" s="391">
        <v>477</v>
      </c>
      <c r="BJ31" s="391">
        <v>665</v>
      </c>
      <c r="BK31" s="391">
        <v>1142</v>
      </c>
      <c r="BL31" s="389">
        <v>0.38068635275339185</v>
      </c>
      <c r="BM31" s="389">
        <v>0.43981481481481483</v>
      </c>
      <c r="BN31" s="389">
        <v>0.41301989150090418</v>
      </c>
      <c r="BO31" s="391">
        <v>3777</v>
      </c>
      <c r="BP31" s="391">
        <v>3901</v>
      </c>
      <c r="BQ31" s="391">
        <v>7678</v>
      </c>
      <c r="BR31" s="391">
        <v>3612</v>
      </c>
      <c r="BS31" s="391">
        <v>3772</v>
      </c>
      <c r="BT31" s="391">
        <v>7384</v>
      </c>
      <c r="BU31" s="391">
        <v>2871</v>
      </c>
      <c r="BV31" s="391">
        <v>3008</v>
      </c>
      <c r="BW31" s="391">
        <v>5879</v>
      </c>
      <c r="BX31" s="389">
        <v>0.79485049833887045</v>
      </c>
      <c r="BY31" s="389">
        <v>0.79745493107104981</v>
      </c>
      <c r="BZ31" s="389">
        <v>0.79618093174431204</v>
      </c>
      <c r="CA31" s="391">
        <v>2871</v>
      </c>
      <c r="CB31" s="391">
        <v>3008</v>
      </c>
      <c r="CC31" s="391">
        <v>5879</v>
      </c>
      <c r="CD31" s="391">
        <v>1464</v>
      </c>
      <c r="CE31" s="391">
        <v>1633</v>
      </c>
      <c r="CF31" s="391">
        <v>3097</v>
      </c>
      <c r="CG31" s="389">
        <v>0.50992685475444099</v>
      </c>
      <c r="CH31" s="389">
        <v>0.54288563829787229</v>
      </c>
      <c r="CI31" s="389">
        <v>0.52679027045415883</v>
      </c>
      <c r="CJ31" s="391">
        <v>292</v>
      </c>
      <c r="CK31" s="391">
        <v>323</v>
      </c>
      <c r="CL31" s="391">
        <v>615</v>
      </c>
      <c r="CM31" s="391">
        <v>271</v>
      </c>
      <c r="CN31" s="391">
        <v>301</v>
      </c>
      <c r="CO31" s="391">
        <v>572</v>
      </c>
      <c r="CP31" s="391">
        <v>181</v>
      </c>
      <c r="CQ31" s="391">
        <v>179</v>
      </c>
      <c r="CR31" s="391">
        <v>360</v>
      </c>
      <c r="CS31" s="389">
        <v>0.66789667896678961</v>
      </c>
      <c r="CT31" s="389">
        <v>0.59468438538205981</v>
      </c>
      <c r="CU31" s="389">
        <v>0.62937062937062938</v>
      </c>
      <c r="CV31" s="391">
        <v>181</v>
      </c>
      <c r="CW31" s="391">
        <v>179</v>
      </c>
      <c r="CX31" s="391">
        <v>360</v>
      </c>
      <c r="CY31" s="391">
        <v>38</v>
      </c>
      <c r="CZ31" s="391">
        <v>58</v>
      </c>
      <c r="DA31" s="391">
        <v>96</v>
      </c>
      <c r="DB31" s="389">
        <v>0.20994475138121546</v>
      </c>
      <c r="DC31" s="389">
        <v>0.32402234636871508</v>
      </c>
      <c r="DD31" s="389">
        <v>0.26666666666666666</v>
      </c>
    </row>
    <row r="32" spans="1:140" ht="39" customHeight="1" x14ac:dyDescent="0.25">
      <c r="A32" s="423">
        <v>26</v>
      </c>
      <c r="B32" s="463" t="s">
        <v>379</v>
      </c>
      <c r="C32" s="401" t="s">
        <v>160</v>
      </c>
      <c r="D32" s="391">
        <v>12911</v>
      </c>
      <c r="E32" s="391">
        <v>14365</v>
      </c>
      <c r="F32" s="391">
        <v>27276</v>
      </c>
      <c r="G32" s="391">
        <v>12225</v>
      </c>
      <c r="H32" s="391">
        <v>13865</v>
      </c>
      <c r="I32" s="391">
        <v>26090</v>
      </c>
      <c r="J32" s="391">
        <v>7741</v>
      </c>
      <c r="K32" s="391">
        <v>9024</v>
      </c>
      <c r="L32" s="391">
        <v>16765</v>
      </c>
      <c r="M32" s="389">
        <v>0.6332106339468303</v>
      </c>
      <c r="N32" s="389">
        <v>0.6508474576271186</v>
      </c>
      <c r="O32" s="389">
        <v>0.64258336527405135</v>
      </c>
      <c r="P32" s="391">
        <v>7741</v>
      </c>
      <c r="Q32" s="391">
        <v>9024</v>
      </c>
      <c r="R32" s="391">
        <v>16765</v>
      </c>
      <c r="S32" s="391">
        <v>2926</v>
      </c>
      <c r="T32" s="391">
        <v>4262</v>
      </c>
      <c r="U32" s="391">
        <v>7188</v>
      </c>
      <c r="V32" s="389">
        <v>0.37798734013693319</v>
      </c>
      <c r="W32" s="389">
        <v>0.47229609929078015</v>
      </c>
      <c r="X32" s="389">
        <v>0.42875037280047718</v>
      </c>
      <c r="Y32" s="391">
        <v>3994</v>
      </c>
      <c r="Z32" s="391">
        <v>5408</v>
      </c>
      <c r="AA32" s="391">
        <v>9402</v>
      </c>
      <c r="AB32" s="391">
        <v>3691</v>
      </c>
      <c r="AC32" s="391">
        <v>5124</v>
      </c>
      <c r="AD32" s="391">
        <v>8815</v>
      </c>
      <c r="AE32" s="391">
        <v>1235</v>
      </c>
      <c r="AF32" s="391">
        <v>1806</v>
      </c>
      <c r="AG32" s="391">
        <v>3041</v>
      </c>
      <c r="AH32" s="389">
        <v>0.3345976700081279</v>
      </c>
      <c r="AI32" s="389">
        <v>0.35245901639344263</v>
      </c>
      <c r="AJ32" s="389">
        <v>0.34498014747589334</v>
      </c>
      <c r="AK32" s="391">
        <v>1235</v>
      </c>
      <c r="AL32" s="391">
        <v>1806</v>
      </c>
      <c r="AM32" s="391">
        <v>3041</v>
      </c>
      <c r="AN32" s="391">
        <v>168</v>
      </c>
      <c r="AO32" s="391">
        <v>317</v>
      </c>
      <c r="AP32" s="391">
        <v>485</v>
      </c>
      <c r="AQ32" s="389">
        <v>0.13603238866396761</v>
      </c>
      <c r="AR32" s="389">
        <v>0.17552602436323367</v>
      </c>
      <c r="AS32" s="389">
        <v>0.15948701085169353</v>
      </c>
      <c r="AT32" s="390"/>
      <c r="AU32" s="390"/>
      <c r="AV32" s="390"/>
      <c r="AW32" s="390"/>
      <c r="AX32" s="390"/>
      <c r="AY32" s="390"/>
      <c r="AZ32" s="390"/>
      <c r="BA32" s="390"/>
      <c r="BB32" s="390"/>
      <c r="BC32" s="390"/>
      <c r="BD32" s="390"/>
      <c r="BE32" s="390"/>
      <c r="BF32" s="390"/>
      <c r="BG32" s="390"/>
      <c r="BH32" s="390"/>
      <c r="BI32" s="390"/>
      <c r="BJ32" s="390"/>
      <c r="BK32" s="390"/>
      <c r="BL32" s="390"/>
      <c r="BM32" s="390"/>
      <c r="BN32" s="390"/>
      <c r="BO32" s="391">
        <v>8917</v>
      </c>
      <c r="BP32" s="391">
        <v>8957</v>
      </c>
      <c r="BQ32" s="391">
        <v>17874</v>
      </c>
      <c r="BR32" s="391">
        <v>8534</v>
      </c>
      <c r="BS32" s="391">
        <v>8741</v>
      </c>
      <c r="BT32" s="391">
        <v>17275</v>
      </c>
      <c r="BU32" s="391">
        <v>6506</v>
      </c>
      <c r="BV32" s="391">
        <v>7218</v>
      </c>
      <c r="BW32" s="391">
        <v>13724</v>
      </c>
      <c r="BX32" s="389">
        <v>0.76236231544410593</v>
      </c>
      <c r="BY32" s="389">
        <v>0.82576364260382107</v>
      </c>
      <c r="BZ32" s="389">
        <v>0.79444283646888569</v>
      </c>
      <c r="CA32" s="391">
        <v>6506</v>
      </c>
      <c r="CB32" s="391">
        <v>7218</v>
      </c>
      <c r="CC32" s="391">
        <v>13724</v>
      </c>
      <c r="CD32" s="391">
        <v>2758</v>
      </c>
      <c r="CE32" s="391">
        <v>3945</v>
      </c>
      <c r="CF32" s="391">
        <v>6703</v>
      </c>
      <c r="CG32" s="389">
        <v>0.42391638487549954</v>
      </c>
      <c r="CH32" s="389">
        <v>0.5465502909393184</v>
      </c>
      <c r="CI32" s="389">
        <v>0.48841445642669773</v>
      </c>
      <c r="CJ32" s="390"/>
      <c r="CK32" s="390"/>
      <c r="CL32" s="390"/>
      <c r="CM32" s="390"/>
      <c r="CN32" s="390"/>
      <c r="CO32" s="390"/>
      <c r="CP32" s="390"/>
      <c r="CQ32" s="390"/>
      <c r="CR32" s="390"/>
      <c r="CS32" s="390"/>
      <c r="CT32" s="390"/>
      <c r="CU32" s="390"/>
      <c r="CV32" s="390"/>
      <c r="CW32" s="390"/>
      <c r="CX32" s="390"/>
      <c r="CY32" s="390"/>
      <c r="CZ32" s="390"/>
      <c r="DA32" s="390"/>
      <c r="DB32" s="390"/>
      <c r="DC32" s="390"/>
      <c r="DD32" s="390"/>
    </row>
    <row r="33" spans="1:140" s="362" customFormat="1" ht="36" customHeight="1" x14ac:dyDescent="0.25">
      <c r="A33" s="423">
        <v>27</v>
      </c>
      <c r="B33" s="463" t="s">
        <v>387</v>
      </c>
      <c r="C33" s="401" t="s">
        <v>353</v>
      </c>
      <c r="D33" s="391">
        <v>10</v>
      </c>
      <c r="E33" s="391">
        <v>8</v>
      </c>
      <c r="F33" s="391">
        <v>18</v>
      </c>
      <c r="G33" s="391">
        <v>9</v>
      </c>
      <c r="H33" s="391">
        <v>6</v>
      </c>
      <c r="I33" s="391">
        <v>15</v>
      </c>
      <c r="J33" s="391">
        <v>9</v>
      </c>
      <c r="K33" s="391">
        <v>6</v>
      </c>
      <c r="L33" s="391">
        <v>15</v>
      </c>
      <c r="M33" s="389">
        <v>1</v>
      </c>
      <c r="N33" s="389">
        <v>1</v>
      </c>
      <c r="O33" s="389">
        <v>1</v>
      </c>
      <c r="P33" s="391">
        <v>9</v>
      </c>
      <c r="Q33" s="391">
        <v>6</v>
      </c>
      <c r="R33" s="391">
        <v>15</v>
      </c>
      <c r="S33" s="391">
        <v>3</v>
      </c>
      <c r="T33" s="391">
        <v>3</v>
      </c>
      <c r="U33" s="391">
        <v>6</v>
      </c>
      <c r="V33" s="389">
        <v>0.33333333333333331</v>
      </c>
      <c r="W33" s="389">
        <v>0.5</v>
      </c>
      <c r="X33" s="389">
        <v>0.4</v>
      </c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  <c r="AJ33" s="393"/>
      <c r="AK33" s="393"/>
      <c r="AL33" s="393"/>
      <c r="AM33" s="393"/>
      <c r="AN33" s="393"/>
      <c r="AO33" s="393"/>
      <c r="AP33" s="393"/>
      <c r="AQ33" s="393"/>
      <c r="AR33" s="393"/>
      <c r="AS33" s="393"/>
      <c r="AT33" s="390"/>
      <c r="AU33" s="390"/>
      <c r="AV33" s="390"/>
      <c r="AW33" s="390"/>
      <c r="AX33" s="390"/>
      <c r="AY33" s="390"/>
      <c r="AZ33" s="390"/>
      <c r="BA33" s="390"/>
      <c r="BB33" s="390"/>
      <c r="BC33" s="390"/>
      <c r="BD33" s="390"/>
      <c r="BE33" s="390"/>
      <c r="BF33" s="390"/>
      <c r="BG33" s="390"/>
      <c r="BH33" s="390"/>
      <c r="BI33" s="390"/>
      <c r="BJ33" s="390"/>
      <c r="BK33" s="390"/>
      <c r="BL33" s="390"/>
      <c r="BM33" s="390"/>
      <c r="BN33" s="390"/>
      <c r="BO33" s="390">
        <v>10</v>
      </c>
      <c r="BP33" s="390">
        <v>8</v>
      </c>
      <c r="BQ33" s="390">
        <v>18</v>
      </c>
      <c r="BR33" s="390">
        <v>9</v>
      </c>
      <c r="BS33" s="390">
        <v>6</v>
      </c>
      <c r="BT33" s="390">
        <v>15</v>
      </c>
      <c r="BU33" s="390">
        <v>9</v>
      </c>
      <c r="BV33" s="390">
        <v>6</v>
      </c>
      <c r="BW33" s="390">
        <v>15</v>
      </c>
      <c r="BX33" s="390"/>
      <c r="BY33" s="390"/>
      <c r="BZ33" s="390"/>
      <c r="CA33" s="390">
        <v>9</v>
      </c>
      <c r="CB33" s="390">
        <v>6</v>
      </c>
      <c r="CC33" s="390">
        <v>15</v>
      </c>
      <c r="CD33" s="390">
        <v>3</v>
      </c>
      <c r="CE33" s="390">
        <v>3</v>
      </c>
      <c r="CF33" s="390">
        <v>6</v>
      </c>
      <c r="CG33" s="390"/>
      <c r="CH33" s="390"/>
      <c r="CI33" s="390"/>
      <c r="CJ33" s="390"/>
      <c r="CK33" s="390"/>
      <c r="CL33" s="390"/>
      <c r="CM33" s="390"/>
      <c r="CN33" s="390"/>
      <c r="CO33" s="390"/>
      <c r="CP33" s="390"/>
      <c r="CQ33" s="390"/>
      <c r="CR33" s="390"/>
      <c r="CS33" s="390"/>
      <c r="CT33" s="390"/>
      <c r="CU33" s="390"/>
      <c r="CV33" s="390"/>
      <c r="CW33" s="390"/>
      <c r="CX33" s="390"/>
      <c r="CY33" s="390"/>
      <c r="CZ33" s="390"/>
      <c r="DA33" s="390"/>
      <c r="DB33" s="390"/>
      <c r="DC33" s="390"/>
      <c r="DD33" s="390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H33"/>
      <c r="EI33"/>
      <c r="EJ33"/>
    </row>
    <row r="34" spans="1:140" ht="39" customHeight="1" x14ac:dyDescent="0.25">
      <c r="A34" s="423">
        <v>28</v>
      </c>
      <c r="B34" s="463" t="s">
        <v>380</v>
      </c>
      <c r="C34" s="401" t="s">
        <v>142</v>
      </c>
      <c r="D34" s="391">
        <v>68727</v>
      </c>
      <c r="E34" s="391">
        <v>71056</v>
      </c>
      <c r="F34" s="391">
        <v>139783</v>
      </c>
      <c r="G34" s="391">
        <v>58618</v>
      </c>
      <c r="H34" s="391">
        <v>64568</v>
      </c>
      <c r="I34" s="391">
        <v>123186</v>
      </c>
      <c r="J34" s="391">
        <v>57026</v>
      </c>
      <c r="K34" s="391">
        <v>63657</v>
      </c>
      <c r="L34" s="391">
        <v>120683</v>
      </c>
      <c r="M34" s="389">
        <v>0.97284110682725444</v>
      </c>
      <c r="N34" s="389">
        <v>0.98589084376161562</v>
      </c>
      <c r="O34" s="389">
        <v>0.97968113259623657</v>
      </c>
      <c r="P34" s="391">
        <v>57026</v>
      </c>
      <c r="Q34" s="391">
        <v>63657</v>
      </c>
      <c r="R34" s="391">
        <v>120683</v>
      </c>
      <c r="S34" s="385">
        <v>28217</v>
      </c>
      <c r="T34" s="386">
        <v>36506</v>
      </c>
      <c r="U34" s="386">
        <v>64723</v>
      </c>
      <c r="V34" s="389">
        <v>0.49480938519271911</v>
      </c>
      <c r="W34" s="389">
        <v>0.57347974299762794</v>
      </c>
      <c r="X34" s="389">
        <v>0.53630585915166185</v>
      </c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3"/>
      <c r="AN34" s="393"/>
      <c r="AO34" s="393"/>
      <c r="AP34" s="393"/>
      <c r="AQ34" s="393"/>
      <c r="AR34" s="393"/>
      <c r="AS34" s="393"/>
      <c r="AT34" s="390"/>
      <c r="AU34" s="390"/>
      <c r="AV34" s="390"/>
      <c r="AW34" s="390"/>
      <c r="AX34" s="390"/>
      <c r="AY34" s="390"/>
      <c r="AZ34" s="390"/>
      <c r="BA34" s="390"/>
      <c r="BB34" s="390"/>
      <c r="BC34" s="390"/>
      <c r="BD34" s="390"/>
      <c r="BE34" s="390"/>
      <c r="BF34" s="390"/>
      <c r="BG34" s="390"/>
      <c r="BH34" s="390"/>
      <c r="BI34" s="390"/>
      <c r="BJ34" s="390"/>
      <c r="BK34" s="390"/>
      <c r="BL34" s="390"/>
      <c r="BM34" s="390"/>
      <c r="BN34" s="390"/>
      <c r="BO34" s="390"/>
      <c r="BP34" s="390"/>
      <c r="BQ34" s="390"/>
      <c r="BR34" s="390"/>
      <c r="BS34" s="390"/>
      <c r="BT34" s="390"/>
      <c r="BU34" s="390"/>
      <c r="BV34" s="390"/>
      <c r="BW34" s="390"/>
      <c r="BX34" s="390"/>
      <c r="BY34" s="390"/>
      <c r="BZ34" s="390"/>
      <c r="CA34" s="390"/>
      <c r="CB34" s="390"/>
      <c r="CC34" s="390"/>
      <c r="CD34" s="390"/>
      <c r="CE34" s="390"/>
      <c r="CF34" s="390"/>
      <c r="CG34" s="390"/>
      <c r="CH34" s="390"/>
      <c r="CI34" s="390"/>
      <c r="CJ34" s="390"/>
      <c r="CK34" s="390"/>
      <c r="CL34" s="390"/>
      <c r="CM34" s="390"/>
      <c r="CN34" s="390"/>
      <c r="CO34" s="390"/>
      <c r="CP34" s="390"/>
      <c r="CQ34" s="390"/>
      <c r="CR34" s="390"/>
      <c r="CS34" s="390"/>
      <c r="CT34" s="390"/>
      <c r="CU34" s="390"/>
      <c r="CV34" s="390"/>
      <c r="CW34" s="390"/>
      <c r="CX34" s="390"/>
      <c r="CY34" s="390"/>
      <c r="CZ34" s="390"/>
      <c r="DA34" s="390"/>
      <c r="DB34" s="390"/>
      <c r="DC34" s="390"/>
      <c r="DD34" s="390"/>
    </row>
    <row r="35" spans="1:140" ht="30" customHeight="1" x14ac:dyDescent="0.25">
      <c r="A35" s="423">
        <v>29</v>
      </c>
      <c r="B35" s="463" t="s">
        <v>381</v>
      </c>
      <c r="C35" s="401" t="s">
        <v>162</v>
      </c>
      <c r="D35" s="391">
        <v>53</v>
      </c>
      <c r="E35" s="391">
        <v>41</v>
      </c>
      <c r="F35" s="391">
        <v>94</v>
      </c>
      <c r="G35" s="391">
        <v>50</v>
      </c>
      <c r="H35" s="391">
        <v>39</v>
      </c>
      <c r="I35" s="391">
        <v>89</v>
      </c>
      <c r="J35" s="391">
        <v>47</v>
      </c>
      <c r="K35" s="391">
        <v>39</v>
      </c>
      <c r="L35" s="391">
        <v>86</v>
      </c>
      <c r="M35" s="389">
        <v>0.94</v>
      </c>
      <c r="N35" s="389">
        <v>1</v>
      </c>
      <c r="O35" s="389">
        <v>0.9662921348314607</v>
      </c>
      <c r="P35" s="391">
        <v>47</v>
      </c>
      <c r="Q35" s="391">
        <v>39</v>
      </c>
      <c r="R35" s="391">
        <v>86</v>
      </c>
      <c r="S35" s="391">
        <v>42</v>
      </c>
      <c r="T35" s="391">
        <v>36</v>
      </c>
      <c r="U35" s="391">
        <v>78</v>
      </c>
      <c r="V35" s="389">
        <v>0.8936170212765957</v>
      </c>
      <c r="W35" s="389">
        <v>0.92307692307692313</v>
      </c>
      <c r="X35" s="389">
        <v>0.90697674418604646</v>
      </c>
      <c r="Y35" s="391">
        <v>12</v>
      </c>
      <c r="Z35" s="391">
        <v>11</v>
      </c>
      <c r="AA35" s="391">
        <v>23</v>
      </c>
      <c r="AB35" s="391">
        <v>12</v>
      </c>
      <c r="AC35" s="391">
        <v>10</v>
      </c>
      <c r="AD35" s="391">
        <v>22</v>
      </c>
      <c r="AE35" s="391">
        <v>12</v>
      </c>
      <c r="AF35" s="391">
        <v>10</v>
      </c>
      <c r="AG35" s="391">
        <v>22</v>
      </c>
      <c r="AH35" s="389">
        <v>1</v>
      </c>
      <c r="AI35" s="389">
        <v>1</v>
      </c>
      <c r="AJ35" s="389">
        <v>1</v>
      </c>
      <c r="AK35" s="391">
        <v>12</v>
      </c>
      <c r="AL35" s="391">
        <v>10</v>
      </c>
      <c r="AM35" s="391">
        <v>22</v>
      </c>
      <c r="AN35" s="391">
        <v>10</v>
      </c>
      <c r="AO35" s="391">
        <v>9</v>
      </c>
      <c r="AP35" s="391">
        <v>19</v>
      </c>
      <c r="AQ35" s="389">
        <v>0.83333333333333337</v>
      </c>
      <c r="AR35" s="389">
        <v>0.9</v>
      </c>
      <c r="AS35" s="389">
        <v>0.86363636363636365</v>
      </c>
      <c r="AT35" s="391">
        <v>5</v>
      </c>
      <c r="AU35" s="391">
        <v>3</v>
      </c>
      <c r="AV35" s="391">
        <v>8</v>
      </c>
      <c r="AW35" s="391">
        <v>5</v>
      </c>
      <c r="AX35" s="391">
        <v>3</v>
      </c>
      <c r="AY35" s="391">
        <v>8</v>
      </c>
      <c r="AZ35" s="391">
        <v>4</v>
      </c>
      <c r="BA35" s="391">
        <v>3</v>
      </c>
      <c r="BB35" s="391">
        <v>7</v>
      </c>
      <c r="BC35" s="389">
        <v>0.8</v>
      </c>
      <c r="BD35" s="389">
        <v>1</v>
      </c>
      <c r="BE35" s="389">
        <v>0.875</v>
      </c>
      <c r="BF35" s="391">
        <v>4</v>
      </c>
      <c r="BG35" s="391">
        <v>3</v>
      </c>
      <c r="BH35" s="391">
        <v>7</v>
      </c>
      <c r="BI35" s="391">
        <v>4</v>
      </c>
      <c r="BJ35" s="391">
        <v>3</v>
      </c>
      <c r="BK35" s="391">
        <v>7</v>
      </c>
      <c r="BL35" s="389">
        <v>1</v>
      </c>
      <c r="BM35" s="389">
        <v>1</v>
      </c>
      <c r="BN35" s="389">
        <v>1</v>
      </c>
      <c r="BO35" s="391">
        <v>31</v>
      </c>
      <c r="BP35" s="391">
        <v>24</v>
      </c>
      <c r="BQ35" s="391">
        <v>55</v>
      </c>
      <c r="BR35" s="391">
        <v>31</v>
      </c>
      <c r="BS35" s="391">
        <v>23</v>
      </c>
      <c r="BT35" s="391">
        <v>54</v>
      </c>
      <c r="BU35" s="391">
        <v>30</v>
      </c>
      <c r="BV35" s="391">
        <v>23</v>
      </c>
      <c r="BW35" s="391">
        <v>53</v>
      </c>
      <c r="BX35" s="389">
        <v>0.967741935483871</v>
      </c>
      <c r="BY35" s="389">
        <v>1</v>
      </c>
      <c r="BZ35" s="389">
        <v>0.98148148148148151</v>
      </c>
      <c r="CA35" s="391">
        <v>30</v>
      </c>
      <c r="CB35" s="391">
        <v>23</v>
      </c>
      <c r="CC35" s="391">
        <v>53</v>
      </c>
      <c r="CD35" s="391">
        <v>27</v>
      </c>
      <c r="CE35" s="391">
        <v>21</v>
      </c>
      <c r="CF35" s="391">
        <v>48</v>
      </c>
      <c r="CG35" s="389">
        <v>0.9</v>
      </c>
      <c r="CH35" s="389">
        <v>0.91304347826086951</v>
      </c>
      <c r="CI35" s="389">
        <v>0.90566037735849059</v>
      </c>
      <c r="CJ35" s="391">
        <v>5</v>
      </c>
      <c r="CK35" s="391">
        <v>3</v>
      </c>
      <c r="CL35" s="391">
        <v>8</v>
      </c>
      <c r="CM35" s="391">
        <v>2</v>
      </c>
      <c r="CN35" s="391">
        <v>3</v>
      </c>
      <c r="CO35" s="391">
        <v>5</v>
      </c>
      <c r="CP35" s="391">
        <v>1</v>
      </c>
      <c r="CQ35" s="391">
        <v>3</v>
      </c>
      <c r="CR35" s="391">
        <v>4</v>
      </c>
      <c r="CS35" s="389">
        <v>0.5</v>
      </c>
      <c r="CT35" s="389">
        <v>1</v>
      </c>
      <c r="CU35" s="389">
        <v>0.8</v>
      </c>
      <c r="CV35" s="391">
        <v>1</v>
      </c>
      <c r="CW35" s="391">
        <v>3</v>
      </c>
      <c r="CX35" s="391">
        <v>4</v>
      </c>
      <c r="CY35" s="391">
        <v>1</v>
      </c>
      <c r="CZ35" s="391">
        <v>3</v>
      </c>
      <c r="DA35" s="391">
        <v>4</v>
      </c>
      <c r="DB35" s="389">
        <v>1</v>
      </c>
      <c r="DC35" s="389">
        <v>1</v>
      </c>
      <c r="DD35" s="389">
        <v>1</v>
      </c>
    </row>
    <row r="36" spans="1:140" ht="36.75" customHeight="1" x14ac:dyDescent="0.25">
      <c r="A36" s="423">
        <v>30</v>
      </c>
      <c r="B36" s="492" t="s">
        <v>361</v>
      </c>
      <c r="C36" s="401" t="s">
        <v>212</v>
      </c>
      <c r="D36" s="391">
        <v>78210</v>
      </c>
      <c r="E36" s="391">
        <v>68765</v>
      </c>
      <c r="F36" s="391">
        <v>146975</v>
      </c>
      <c r="G36" s="391">
        <v>73222</v>
      </c>
      <c r="H36" s="391">
        <v>65889</v>
      </c>
      <c r="I36" s="391">
        <v>139111</v>
      </c>
      <c r="J36" s="391">
        <v>55803</v>
      </c>
      <c r="K36" s="391">
        <v>51858</v>
      </c>
      <c r="L36" s="391">
        <v>107661</v>
      </c>
      <c r="M36" s="389">
        <v>0.76210701701674355</v>
      </c>
      <c r="N36" s="389">
        <v>0.78705094932386288</v>
      </c>
      <c r="O36" s="389">
        <v>0.77392154466577046</v>
      </c>
      <c r="P36" s="391">
        <v>55803</v>
      </c>
      <c r="Q36" s="391">
        <v>51858</v>
      </c>
      <c r="R36" s="391">
        <v>107661</v>
      </c>
      <c r="S36" s="391">
        <v>13898</v>
      </c>
      <c r="T36" s="391">
        <v>14359</v>
      </c>
      <c r="U36" s="391">
        <v>28257</v>
      </c>
      <c r="V36" s="389">
        <v>0.24905471032023369</v>
      </c>
      <c r="W36" s="389">
        <v>0.27689074009795983</v>
      </c>
      <c r="X36" s="389">
        <v>0.2624627302365759</v>
      </c>
      <c r="Y36" s="391">
        <v>60028</v>
      </c>
      <c r="Z36" s="391">
        <v>59484</v>
      </c>
      <c r="AA36" s="391">
        <v>119512</v>
      </c>
      <c r="AB36" s="391">
        <v>55500</v>
      </c>
      <c r="AC36" s="391">
        <v>56760</v>
      </c>
      <c r="AD36" s="391">
        <v>112260</v>
      </c>
      <c r="AE36" s="391">
        <v>40607</v>
      </c>
      <c r="AF36" s="391">
        <v>43629</v>
      </c>
      <c r="AG36" s="391">
        <v>84236</v>
      </c>
      <c r="AH36" s="389">
        <v>0.73165765765765767</v>
      </c>
      <c r="AI36" s="389">
        <v>0.76865750528541221</v>
      </c>
      <c r="AJ36" s="389">
        <v>0.7503652235880991</v>
      </c>
      <c r="AK36" s="391">
        <v>40607</v>
      </c>
      <c r="AL36" s="391">
        <v>43629</v>
      </c>
      <c r="AM36" s="391">
        <v>84236</v>
      </c>
      <c r="AN36" s="391">
        <v>7080</v>
      </c>
      <c r="AO36" s="391">
        <v>9683</v>
      </c>
      <c r="AP36" s="391">
        <v>16763</v>
      </c>
      <c r="AQ36" s="389">
        <v>0.17435417538847983</v>
      </c>
      <c r="AR36" s="389">
        <v>0.2219395356299709</v>
      </c>
      <c r="AS36" s="389">
        <v>0.19900042737072035</v>
      </c>
      <c r="AT36" s="390"/>
      <c r="AU36" s="390"/>
      <c r="AV36" s="390"/>
      <c r="AW36" s="390"/>
      <c r="AX36" s="390"/>
      <c r="AY36" s="390"/>
      <c r="AZ36" s="390"/>
      <c r="BA36" s="390"/>
      <c r="BB36" s="390"/>
      <c r="BC36" s="390"/>
      <c r="BD36" s="390"/>
      <c r="BE36" s="390"/>
      <c r="BF36" s="390"/>
      <c r="BG36" s="390"/>
      <c r="BH36" s="390"/>
      <c r="BI36" s="390"/>
      <c r="BJ36" s="390"/>
      <c r="BK36" s="390"/>
      <c r="BL36" s="390"/>
      <c r="BM36" s="390"/>
      <c r="BN36" s="390"/>
      <c r="BO36" s="391">
        <v>18142</v>
      </c>
      <c r="BP36" s="391">
        <v>9247</v>
      </c>
      <c r="BQ36" s="391">
        <v>27389</v>
      </c>
      <c r="BR36" s="391">
        <v>17689</v>
      </c>
      <c r="BS36" s="391">
        <v>9102</v>
      </c>
      <c r="BT36" s="391">
        <v>26791</v>
      </c>
      <c r="BU36" s="391">
        <v>15187</v>
      </c>
      <c r="BV36" s="391">
        <v>8226</v>
      </c>
      <c r="BW36" s="391">
        <v>23413</v>
      </c>
      <c r="BX36" s="389">
        <v>0.85855616484821073</v>
      </c>
      <c r="BY36" s="389">
        <v>0.90375741595253789</v>
      </c>
      <c r="BZ36" s="389">
        <v>0.87391288119144483</v>
      </c>
      <c r="CA36" s="391">
        <v>15187</v>
      </c>
      <c r="CB36" s="391">
        <v>8226</v>
      </c>
      <c r="CC36" s="391">
        <v>23413</v>
      </c>
      <c r="CD36" s="391">
        <v>6818</v>
      </c>
      <c r="CE36" s="391">
        <v>4675</v>
      </c>
      <c r="CF36" s="391">
        <v>11493</v>
      </c>
      <c r="CG36" s="389">
        <v>0.4489365905050372</v>
      </c>
      <c r="CH36" s="389">
        <v>0.56831996109895455</v>
      </c>
      <c r="CI36" s="389">
        <v>0.49088113441250586</v>
      </c>
      <c r="CJ36" s="391">
        <v>40</v>
      </c>
      <c r="CK36" s="391">
        <v>34</v>
      </c>
      <c r="CL36" s="391">
        <v>74</v>
      </c>
      <c r="CM36" s="391">
        <v>33</v>
      </c>
      <c r="CN36" s="391">
        <v>27</v>
      </c>
      <c r="CO36" s="391">
        <v>60</v>
      </c>
      <c r="CP36" s="391">
        <v>9</v>
      </c>
      <c r="CQ36" s="391">
        <v>3</v>
      </c>
      <c r="CR36" s="391">
        <v>12</v>
      </c>
      <c r="CS36" s="389">
        <v>0.27272727272727271</v>
      </c>
      <c r="CT36" s="389">
        <v>0.1111111111111111</v>
      </c>
      <c r="CU36" s="389">
        <v>0.2</v>
      </c>
      <c r="CV36" s="391">
        <v>9</v>
      </c>
      <c r="CW36" s="391">
        <v>3</v>
      </c>
      <c r="CX36" s="391">
        <v>12</v>
      </c>
      <c r="CY36" s="391">
        <v>0</v>
      </c>
      <c r="CZ36" s="391">
        <v>1</v>
      </c>
      <c r="DA36" s="391">
        <v>1</v>
      </c>
      <c r="DB36" s="389">
        <v>0</v>
      </c>
      <c r="DC36" s="389">
        <v>0.33333333333333331</v>
      </c>
      <c r="DD36" s="389">
        <v>8.3333333333333329E-2</v>
      </c>
    </row>
    <row r="37" spans="1:140" s="379" customFormat="1" ht="33.75" customHeight="1" x14ac:dyDescent="0.25">
      <c r="A37" s="423">
        <v>31</v>
      </c>
      <c r="B37" s="493"/>
      <c r="C37" s="424" t="s">
        <v>421</v>
      </c>
      <c r="D37" s="391">
        <v>0</v>
      </c>
      <c r="E37" s="391">
        <v>14</v>
      </c>
      <c r="F37" s="391">
        <v>14</v>
      </c>
      <c r="G37" s="391">
        <v>0</v>
      </c>
      <c r="H37" s="391">
        <v>14</v>
      </c>
      <c r="I37" s="391">
        <v>14</v>
      </c>
      <c r="J37" s="391">
        <v>0</v>
      </c>
      <c r="K37" s="391">
        <v>14</v>
      </c>
      <c r="L37" s="391">
        <v>14</v>
      </c>
      <c r="M37" s="393"/>
      <c r="N37" s="389">
        <v>1</v>
      </c>
      <c r="O37" s="389">
        <v>1</v>
      </c>
      <c r="P37" s="391">
        <v>0</v>
      </c>
      <c r="Q37" s="391">
        <v>14</v>
      </c>
      <c r="R37" s="391">
        <v>14</v>
      </c>
      <c r="S37" s="391">
        <v>0</v>
      </c>
      <c r="T37" s="391">
        <v>14</v>
      </c>
      <c r="U37" s="391">
        <v>14</v>
      </c>
      <c r="V37" s="393"/>
      <c r="W37" s="389">
        <v>1</v>
      </c>
      <c r="X37" s="389">
        <v>1</v>
      </c>
      <c r="Y37" s="393"/>
      <c r="Z37" s="393"/>
      <c r="AA37" s="393"/>
      <c r="AB37" s="393"/>
      <c r="AC37" s="393"/>
      <c r="AD37" s="393"/>
      <c r="AE37" s="393"/>
      <c r="AF37" s="393"/>
      <c r="AG37" s="393"/>
      <c r="AH37" s="390"/>
      <c r="AI37" s="390"/>
      <c r="AJ37" s="390"/>
      <c r="AK37" s="390"/>
      <c r="AL37" s="390"/>
      <c r="AM37" s="390"/>
      <c r="AN37" s="390"/>
      <c r="AO37" s="390"/>
      <c r="AP37" s="390"/>
      <c r="AQ37" s="390"/>
      <c r="AR37" s="390"/>
      <c r="AS37" s="390"/>
      <c r="AT37" s="390"/>
      <c r="AU37" s="390"/>
      <c r="AV37" s="390"/>
      <c r="AW37" s="390"/>
      <c r="AX37" s="390"/>
      <c r="AY37" s="390"/>
      <c r="AZ37" s="390"/>
      <c r="BA37" s="390"/>
      <c r="BB37" s="390"/>
      <c r="BC37" s="390"/>
      <c r="BD37" s="390"/>
      <c r="BE37" s="390"/>
      <c r="BF37" s="390"/>
      <c r="BG37" s="390"/>
      <c r="BH37" s="390"/>
      <c r="BI37" s="390"/>
      <c r="BJ37" s="390"/>
      <c r="BK37" s="390"/>
      <c r="BL37" s="390"/>
      <c r="BM37" s="390"/>
      <c r="BN37" s="390"/>
      <c r="BO37" s="391">
        <v>0</v>
      </c>
      <c r="BP37" s="391">
        <v>14</v>
      </c>
      <c r="BQ37" s="391">
        <v>14</v>
      </c>
      <c r="BR37" s="391">
        <v>0</v>
      </c>
      <c r="BS37" s="391">
        <v>14</v>
      </c>
      <c r="BT37" s="391">
        <v>14</v>
      </c>
      <c r="BU37" s="391">
        <v>0</v>
      </c>
      <c r="BV37" s="391">
        <v>14</v>
      </c>
      <c r="BW37" s="391">
        <v>14</v>
      </c>
      <c r="BX37" s="390"/>
      <c r="BY37" s="389">
        <v>1</v>
      </c>
      <c r="BZ37" s="389">
        <v>1</v>
      </c>
      <c r="CA37" s="391">
        <v>0</v>
      </c>
      <c r="CB37" s="391">
        <v>14</v>
      </c>
      <c r="CC37" s="391">
        <v>14</v>
      </c>
      <c r="CD37" s="391">
        <v>0</v>
      </c>
      <c r="CE37" s="391">
        <v>14</v>
      </c>
      <c r="CF37" s="391">
        <v>14</v>
      </c>
      <c r="CG37" s="390"/>
      <c r="CH37" s="389">
        <v>1</v>
      </c>
      <c r="CI37" s="389">
        <v>1</v>
      </c>
      <c r="CJ37" s="390"/>
      <c r="CK37" s="390"/>
      <c r="CL37" s="390"/>
      <c r="CM37" s="390"/>
      <c r="CN37" s="390"/>
      <c r="CO37" s="390"/>
      <c r="CP37" s="390"/>
      <c r="CQ37" s="390"/>
      <c r="CR37" s="390"/>
      <c r="CS37" s="390"/>
      <c r="CT37" s="390"/>
      <c r="CU37" s="390"/>
      <c r="CV37" s="390"/>
      <c r="CW37" s="390"/>
      <c r="CX37" s="390"/>
      <c r="CY37" s="390"/>
      <c r="CZ37" s="390"/>
      <c r="DA37" s="390"/>
      <c r="DB37" s="390"/>
      <c r="DC37" s="390"/>
      <c r="DD37" s="390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H37"/>
      <c r="EI37"/>
      <c r="EJ37"/>
    </row>
    <row r="38" spans="1:140" s="378" customFormat="1" ht="38.25" customHeight="1" x14ac:dyDescent="0.25">
      <c r="A38" s="423">
        <v>32</v>
      </c>
      <c r="B38" s="463" t="s">
        <v>382</v>
      </c>
      <c r="C38" s="401" t="s">
        <v>350</v>
      </c>
      <c r="D38" s="391">
        <v>8268</v>
      </c>
      <c r="E38" s="391">
        <v>7242</v>
      </c>
      <c r="F38" s="391">
        <v>15510</v>
      </c>
      <c r="G38" s="391">
        <v>6741</v>
      </c>
      <c r="H38" s="391">
        <v>6184</v>
      </c>
      <c r="I38" s="391">
        <v>12925</v>
      </c>
      <c r="J38" s="391">
        <v>4239</v>
      </c>
      <c r="K38" s="391">
        <v>4656</v>
      </c>
      <c r="L38" s="391">
        <v>8895</v>
      </c>
      <c r="M38" s="389">
        <v>0.6288384512683578</v>
      </c>
      <c r="N38" s="389">
        <v>0.7529107373868047</v>
      </c>
      <c r="O38" s="389">
        <v>0.68820116054158609</v>
      </c>
      <c r="P38" s="391">
        <v>4239</v>
      </c>
      <c r="Q38" s="391">
        <v>4656</v>
      </c>
      <c r="R38" s="391">
        <v>8895</v>
      </c>
      <c r="S38" s="391">
        <v>930</v>
      </c>
      <c r="T38" s="391">
        <v>1425</v>
      </c>
      <c r="U38" s="391">
        <v>2355</v>
      </c>
      <c r="V38" s="389">
        <v>0.21939136588818117</v>
      </c>
      <c r="W38" s="389">
        <v>0.30605670103092786</v>
      </c>
      <c r="X38" s="389">
        <v>0.26475548060708265</v>
      </c>
      <c r="Y38" s="391">
        <v>5123</v>
      </c>
      <c r="Z38" s="391">
        <v>4859</v>
      </c>
      <c r="AA38" s="391">
        <v>9982</v>
      </c>
      <c r="AB38" s="391">
        <v>3785</v>
      </c>
      <c r="AC38" s="391">
        <v>3934</v>
      </c>
      <c r="AD38" s="391">
        <v>7719</v>
      </c>
      <c r="AE38" s="391">
        <v>2715</v>
      </c>
      <c r="AF38" s="391">
        <v>3275</v>
      </c>
      <c r="AG38" s="391">
        <v>5990</v>
      </c>
      <c r="AH38" s="389">
        <v>0.71730515191545574</v>
      </c>
      <c r="AI38" s="389">
        <v>0.83248601931875954</v>
      </c>
      <c r="AJ38" s="389">
        <v>0.77600725482575461</v>
      </c>
      <c r="AK38" s="391">
        <v>2715</v>
      </c>
      <c r="AL38" s="391">
        <v>3275</v>
      </c>
      <c r="AM38" s="391">
        <v>5990</v>
      </c>
      <c r="AN38" s="391">
        <v>470</v>
      </c>
      <c r="AO38" s="391">
        <v>792</v>
      </c>
      <c r="AP38" s="391">
        <v>1262</v>
      </c>
      <c r="AQ38" s="389">
        <v>0.17311233885819521</v>
      </c>
      <c r="AR38" s="389">
        <v>0.24183206106870228</v>
      </c>
      <c r="AS38" s="389">
        <v>0.21068447412353924</v>
      </c>
      <c r="AT38" s="391">
        <v>924</v>
      </c>
      <c r="AU38" s="391">
        <v>881</v>
      </c>
      <c r="AV38" s="391">
        <v>1805</v>
      </c>
      <c r="AW38" s="391">
        <v>758</v>
      </c>
      <c r="AX38" s="391">
        <v>758</v>
      </c>
      <c r="AY38" s="391">
        <v>1516</v>
      </c>
      <c r="AZ38" s="391">
        <v>569</v>
      </c>
      <c r="BA38" s="391">
        <v>658</v>
      </c>
      <c r="BB38" s="391">
        <v>1227</v>
      </c>
      <c r="BC38" s="389">
        <v>0.75065963060686014</v>
      </c>
      <c r="BD38" s="389">
        <v>0.86807387862796836</v>
      </c>
      <c r="BE38" s="389">
        <v>0.80936675461741425</v>
      </c>
      <c r="BF38" s="391">
        <v>569</v>
      </c>
      <c r="BG38" s="391">
        <v>658</v>
      </c>
      <c r="BH38" s="391">
        <v>1227</v>
      </c>
      <c r="BI38" s="391">
        <v>86</v>
      </c>
      <c r="BJ38" s="391">
        <v>228</v>
      </c>
      <c r="BK38" s="391">
        <v>314</v>
      </c>
      <c r="BL38" s="389">
        <v>0.15114235500878734</v>
      </c>
      <c r="BM38" s="389">
        <v>0.34650455927051671</v>
      </c>
      <c r="BN38" s="389">
        <v>0.25590872045639773</v>
      </c>
      <c r="BO38" s="391">
        <v>2221</v>
      </c>
      <c r="BP38" s="391">
        <v>1502</v>
      </c>
      <c r="BQ38" s="391">
        <v>3723</v>
      </c>
      <c r="BR38" s="391">
        <v>2198</v>
      </c>
      <c r="BS38" s="391">
        <v>1492</v>
      </c>
      <c r="BT38" s="391">
        <v>3690</v>
      </c>
      <c r="BU38" s="391">
        <v>955</v>
      </c>
      <c r="BV38" s="391">
        <v>723</v>
      </c>
      <c r="BW38" s="391">
        <v>1678</v>
      </c>
      <c r="BX38" s="389">
        <v>0.43448589626933576</v>
      </c>
      <c r="BY38" s="389">
        <v>0.48458445040214476</v>
      </c>
      <c r="BZ38" s="389">
        <v>0.45474254742547426</v>
      </c>
      <c r="CA38" s="391">
        <v>955</v>
      </c>
      <c r="CB38" s="391">
        <v>723</v>
      </c>
      <c r="CC38" s="391">
        <v>1678</v>
      </c>
      <c r="CD38" s="391">
        <v>374</v>
      </c>
      <c r="CE38" s="391">
        <v>405</v>
      </c>
      <c r="CF38" s="391">
        <v>779</v>
      </c>
      <c r="CG38" s="389">
        <v>0.39162303664921466</v>
      </c>
      <c r="CH38" s="389">
        <v>0.56016597510373445</v>
      </c>
      <c r="CI38" s="389">
        <v>0.4642431466030989</v>
      </c>
      <c r="CJ38" s="390"/>
      <c r="CK38" s="390"/>
      <c r="CL38" s="390"/>
      <c r="CM38" s="390"/>
      <c r="CN38" s="390"/>
      <c r="CO38" s="390"/>
      <c r="CP38" s="390"/>
      <c r="CQ38" s="390"/>
      <c r="CR38" s="390"/>
      <c r="CS38" s="390"/>
      <c r="CT38" s="390"/>
      <c r="CU38" s="390"/>
      <c r="CV38" s="390"/>
      <c r="CW38" s="390"/>
      <c r="CX38" s="390"/>
      <c r="CY38" s="390"/>
      <c r="CZ38" s="390"/>
      <c r="DA38" s="390"/>
      <c r="DB38" s="390"/>
      <c r="DC38" s="390"/>
      <c r="DD38" s="390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H38"/>
      <c r="EI38"/>
      <c r="EJ38"/>
    </row>
    <row r="39" spans="1:140" s="376" customFormat="1" ht="31.5" x14ac:dyDescent="0.25">
      <c r="A39" s="423">
        <v>33</v>
      </c>
      <c r="B39" s="463" t="s">
        <v>359</v>
      </c>
      <c r="C39" s="401" t="s">
        <v>354</v>
      </c>
      <c r="D39" s="391">
        <v>28121</v>
      </c>
      <c r="E39" s="391">
        <v>26796</v>
      </c>
      <c r="F39" s="391">
        <v>54917</v>
      </c>
      <c r="G39" s="391">
        <v>27721</v>
      </c>
      <c r="H39" s="391">
        <v>26302</v>
      </c>
      <c r="I39" s="391">
        <v>54023</v>
      </c>
      <c r="J39" s="391">
        <v>26731</v>
      </c>
      <c r="K39" s="391">
        <v>25684</v>
      </c>
      <c r="L39" s="391">
        <v>52415</v>
      </c>
      <c r="M39" s="389">
        <v>0.96428700263338263</v>
      </c>
      <c r="N39" s="389">
        <v>0.97650368793247666</v>
      </c>
      <c r="O39" s="389">
        <v>0.97023489995002132</v>
      </c>
      <c r="P39" s="391">
        <v>26731</v>
      </c>
      <c r="Q39" s="391">
        <v>25684</v>
      </c>
      <c r="R39" s="391">
        <v>52415</v>
      </c>
      <c r="S39" s="391">
        <v>24684</v>
      </c>
      <c r="T39" s="391">
        <v>24655</v>
      </c>
      <c r="U39" s="391">
        <v>49339</v>
      </c>
      <c r="V39" s="389">
        <v>0.92342224383674387</v>
      </c>
      <c r="W39" s="389">
        <v>0.95993614701759855</v>
      </c>
      <c r="X39" s="389">
        <v>0.94131450920538018</v>
      </c>
      <c r="Y39" s="391">
        <v>11420</v>
      </c>
      <c r="Z39" s="391">
        <v>7676</v>
      </c>
      <c r="AA39" s="391">
        <v>19096</v>
      </c>
      <c r="AB39" s="391">
        <v>11196</v>
      </c>
      <c r="AC39" s="391">
        <v>7492</v>
      </c>
      <c r="AD39" s="391">
        <v>18688</v>
      </c>
      <c r="AE39" s="391">
        <v>10595</v>
      </c>
      <c r="AF39" s="391">
        <v>7206</v>
      </c>
      <c r="AG39" s="391">
        <v>17801</v>
      </c>
      <c r="AH39" s="389">
        <v>0.94632011432654517</v>
      </c>
      <c r="AI39" s="389">
        <v>0.96182594767752272</v>
      </c>
      <c r="AJ39" s="389">
        <v>0.95253638698630139</v>
      </c>
      <c r="AK39" s="391">
        <v>10595</v>
      </c>
      <c r="AL39" s="391">
        <v>7206</v>
      </c>
      <c r="AM39" s="391">
        <v>17801</v>
      </c>
      <c r="AN39" s="391">
        <v>9126</v>
      </c>
      <c r="AO39" s="391">
        <v>6645</v>
      </c>
      <c r="AP39" s="391">
        <v>15771</v>
      </c>
      <c r="AQ39" s="389">
        <v>0.86134969325153377</v>
      </c>
      <c r="AR39" s="389">
        <v>0.92214820982514567</v>
      </c>
      <c r="AS39" s="389">
        <v>0.88596146283916632</v>
      </c>
      <c r="AT39" s="391">
        <v>233</v>
      </c>
      <c r="AU39" s="391">
        <v>269</v>
      </c>
      <c r="AV39" s="391">
        <v>502</v>
      </c>
      <c r="AW39" s="391">
        <v>229</v>
      </c>
      <c r="AX39" s="391">
        <v>261</v>
      </c>
      <c r="AY39" s="391">
        <v>490</v>
      </c>
      <c r="AZ39" s="391">
        <v>220</v>
      </c>
      <c r="BA39" s="391">
        <v>248</v>
      </c>
      <c r="BB39" s="391">
        <v>468</v>
      </c>
      <c r="BC39" s="389">
        <v>0.9606986899563319</v>
      </c>
      <c r="BD39" s="389">
        <v>0.95019157088122608</v>
      </c>
      <c r="BE39" s="389">
        <v>0.95510204081632655</v>
      </c>
      <c r="BF39" s="391">
        <v>220</v>
      </c>
      <c r="BG39" s="391">
        <v>248</v>
      </c>
      <c r="BH39" s="391">
        <v>468</v>
      </c>
      <c r="BI39" s="391">
        <v>204</v>
      </c>
      <c r="BJ39" s="391">
        <v>234</v>
      </c>
      <c r="BK39" s="391">
        <v>438</v>
      </c>
      <c r="BL39" s="389">
        <v>0.92727272727272725</v>
      </c>
      <c r="BM39" s="389">
        <v>0.94354838709677424</v>
      </c>
      <c r="BN39" s="391">
        <v>0.9358974358974359</v>
      </c>
      <c r="BO39" s="391">
        <v>7081</v>
      </c>
      <c r="BP39" s="391">
        <v>3590</v>
      </c>
      <c r="BQ39" s="391">
        <v>10671</v>
      </c>
      <c r="BR39" s="391">
        <v>7046</v>
      </c>
      <c r="BS39" s="391">
        <v>3551</v>
      </c>
      <c r="BT39" s="391">
        <v>10597</v>
      </c>
      <c r="BU39" s="391">
        <v>6954</v>
      </c>
      <c r="BV39" s="391">
        <v>3530</v>
      </c>
      <c r="BW39" s="391">
        <v>10484</v>
      </c>
      <c r="BX39" s="389">
        <v>0.98694294635254043</v>
      </c>
      <c r="BY39" s="389">
        <v>0.99408617290903967</v>
      </c>
      <c r="BZ39" s="389">
        <v>0.98933660469944329</v>
      </c>
      <c r="CA39" s="391">
        <v>6954</v>
      </c>
      <c r="CB39" s="391">
        <v>3530</v>
      </c>
      <c r="CC39" s="391">
        <v>10484</v>
      </c>
      <c r="CD39" s="416">
        <v>6816</v>
      </c>
      <c r="CE39" s="416">
        <v>3492</v>
      </c>
      <c r="CF39" s="416">
        <v>10308</v>
      </c>
      <c r="CG39" s="389">
        <v>0.9801553062985332</v>
      </c>
      <c r="CH39" s="389">
        <v>0.98923512747875353</v>
      </c>
      <c r="CI39" s="389">
        <v>0.98321251430751622</v>
      </c>
      <c r="CJ39" s="391">
        <v>9387</v>
      </c>
      <c r="CK39" s="391">
        <v>15261</v>
      </c>
      <c r="CL39" s="391">
        <v>24648</v>
      </c>
      <c r="CM39" s="391">
        <v>9250</v>
      </c>
      <c r="CN39" s="391">
        <v>14998</v>
      </c>
      <c r="CO39" s="391">
        <v>24248</v>
      </c>
      <c r="CP39" s="391">
        <v>8962</v>
      </c>
      <c r="CQ39" s="391">
        <v>14700</v>
      </c>
      <c r="CR39" s="391">
        <v>23662</v>
      </c>
      <c r="CS39" s="389">
        <v>0.96886486486486489</v>
      </c>
      <c r="CT39" s="389">
        <v>0.98013068409121218</v>
      </c>
      <c r="CU39" s="389">
        <v>0.97583305839656875</v>
      </c>
      <c r="CV39" s="391">
        <v>8962</v>
      </c>
      <c r="CW39" s="391">
        <v>14700</v>
      </c>
      <c r="CX39" s="391">
        <v>23662</v>
      </c>
      <c r="CY39" s="416">
        <v>8538</v>
      </c>
      <c r="CZ39" s="416">
        <v>14284</v>
      </c>
      <c r="DA39" s="416">
        <v>22822</v>
      </c>
      <c r="DB39" s="389">
        <v>0.9526891318902031</v>
      </c>
      <c r="DC39" s="389">
        <v>0.97170068027210887</v>
      </c>
      <c r="DD39" s="389">
        <v>0.96450004226185448</v>
      </c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H39"/>
      <c r="EI39"/>
      <c r="EJ39"/>
    </row>
    <row r="40" spans="1:140" s="378" customFormat="1" ht="31.5" x14ac:dyDescent="0.25">
      <c r="A40" s="423">
        <v>34</v>
      </c>
      <c r="B40" s="463" t="s">
        <v>383</v>
      </c>
      <c r="C40" s="401" t="s">
        <v>165</v>
      </c>
      <c r="D40" s="394"/>
      <c r="E40" s="394"/>
      <c r="F40" s="393"/>
      <c r="G40" s="385">
        <v>6407</v>
      </c>
      <c r="H40" s="385">
        <v>7059</v>
      </c>
      <c r="I40" s="385">
        <v>13466</v>
      </c>
      <c r="J40" s="391">
        <v>5541</v>
      </c>
      <c r="K40" s="391">
        <v>6122</v>
      </c>
      <c r="L40" s="391">
        <v>11663</v>
      </c>
      <c r="M40" s="389">
        <v>0.86483533635086629</v>
      </c>
      <c r="N40" s="389">
        <v>0.86726165179203851</v>
      </c>
      <c r="O40" s="389">
        <v>0.86610723303133819</v>
      </c>
      <c r="P40" s="391">
        <v>5541</v>
      </c>
      <c r="Q40" s="391">
        <v>6122</v>
      </c>
      <c r="R40" s="391">
        <v>11663</v>
      </c>
      <c r="S40" s="391">
        <v>1280</v>
      </c>
      <c r="T40" s="391">
        <v>1486</v>
      </c>
      <c r="U40" s="391">
        <v>2766</v>
      </c>
      <c r="V40" s="389">
        <v>0.23100523371232629</v>
      </c>
      <c r="W40" s="389">
        <v>0.2427311336164652</v>
      </c>
      <c r="X40" s="389">
        <v>0.23716025036440025</v>
      </c>
      <c r="Y40" s="393"/>
      <c r="Z40" s="393"/>
      <c r="AA40" s="393"/>
      <c r="AB40" s="393"/>
      <c r="AC40" s="393"/>
      <c r="AD40" s="393"/>
      <c r="AE40" s="393"/>
      <c r="AF40" s="393"/>
      <c r="AG40" s="393"/>
      <c r="AH40" s="390"/>
      <c r="AI40" s="390"/>
      <c r="AJ40" s="390"/>
      <c r="AK40" s="390"/>
      <c r="AL40" s="390"/>
      <c r="AM40" s="390"/>
      <c r="AN40" s="390"/>
      <c r="AO40" s="390"/>
      <c r="AP40" s="390"/>
      <c r="AQ40" s="390"/>
      <c r="AR40" s="390"/>
      <c r="AS40" s="390"/>
      <c r="AT40" s="390"/>
      <c r="AU40" s="390"/>
      <c r="AV40" s="390"/>
      <c r="AW40" s="390"/>
      <c r="AX40" s="390"/>
      <c r="AY40" s="390"/>
      <c r="AZ40" s="390"/>
      <c r="BA40" s="390"/>
      <c r="BB40" s="390"/>
      <c r="BC40" s="390"/>
      <c r="BD40" s="390"/>
      <c r="BE40" s="390"/>
      <c r="BF40" s="390"/>
      <c r="BG40" s="390"/>
      <c r="BH40" s="390"/>
      <c r="BI40" s="390"/>
      <c r="BJ40" s="390"/>
      <c r="BK40" s="390"/>
      <c r="BL40" s="390"/>
      <c r="BM40" s="390"/>
      <c r="BN40" s="390"/>
      <c r="BO40" s="390"/>
      <c r="BP40" s="390"/>
      <c r="BQ40" s="390"/>
      <c r="BR40" s="390"/>
      <c r="BS40" s="390"/>
      <c r="BT40" s="390"/>
      <c r="BU40" s="390"/>
      <c r="BV40" s="390"/>
      <c r="BW40" s="390"/>
      <c r="BX40" s="390"/>
      <c r="BY40" s="390"/>
      <c r="BZ40" s="390"/>
      <c r="CA40" s="390"/>
      <c r="CB40" s="390"/>
      <c r="CC40" s="390"/>
      <c r="CD40" s="390"/>
      <c r="CE40" s="390"/>
      <c r="CF40" s="390"/>
      <c r="CG40" s="390"/>
      <c r="CH40" s="390"/>
      <c r="CI40" s="390"/>
      <c r="CJ40" s="390"/>
      <c r="CK40" s="390"/>
      <c r="CL40" s="390"/>
      <c r="CM40" s="390"/>
      <c r="CN40" s="390"/>
      <c r="CO40" s="390"/>
      <c r="CP40" s="390"/>
      <c r="CQ40" s="390"/>
      <c r="CR40" s="390"/>
      <c r="CS40" s="390"/>
      <c r="CT40" s="390"/>
      <c r="CU40" s="390"/>
      <c r="CV40" s="390"/>
      <c r="CW40" s="390"/>
      <c r="CX40" s="390"/>
      <c r="CY40" s="390"/>
      <c r="CZ40" s="390"/>
      <c r="DA40" s="390"/>
      <c r="DB40" s="390"/>
      <c r="DC40" s="390"/>
      <c r="DD40" s="39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H40"/>
      <c r="EI40"/>
      <c r="EJ40"/>
    </row>
    <row r="41" spans="1:140" s="362" customFormat="1" ht="31.5" x14ac:dyDescent="0.25">
      <c r="A41" s="423">
        <v>35</v>
      </c>
      <c r="B41" s="489" t="s">
        <v>384</v>
      </c>
      <c r="C41" s="401" t="s">
        <v>351</v>
      </c>
      <c r="D41" s="391">
        <v>11818</v>
      </c>
      <c r="E41" s="391">
        <v>9256</v>
      </c>
      <c r="F41" s="391">
        <v>21074</v>
      </c>
      <c r="G41" s="391">
        <v>9771</v>
      </c>
      <c r="H41" s="391">
        <v>8437</v>
      </c>
      <c r="I41" s="391">
        <v>18208</v>
      </c>
      <c r="J41" s="391">
        <v>8211</v>
      </c>
      <c r="K41" s="391">
        <v>7409</v>
      </c>
      <c r="L41" s="391">
        <v>15620</v>
      </c>
      <c r="M41" s="389">
        <v>0.84034387473134786</v>
      </c>
      <c r="N41" s="389">
        <v>0.87815574256252227</v>
      </c>
      <c r="O41" s="389">
        <v>0.85786467486818985</v>
      </c>
      <c r="P41" s="391">
        <v>8211</v>
      </c>
      <c r="Q41" s="391">
        <v>7409</v>
      </c>
      <c r="R41" s="391">
        <v>15620</v>
      </c>
      <c r="S41" s="391">
        <v>5616</v>
      </c>
      <c r="T41" s="391">
        <v>5454</v>
      </c>
      <c r="U41" s="391">
        <v>11070</v>
      </c>
      <c r="V41" s="389">
        <v>0.68396054073803436</v>
      </c>
      <c r="W41" s="389">
        <v>0.7361317316776893</v>
      </c>
      <c r="X41" s="389">
        <v>0.7087067861715749</v>
      </c>
      <c r="Y41" s="391">
        <v>682</v>
      </c>
      <c r="Z41" s="391">
        <v>815</v>
      </c>
      <c r="AA41" s="391">
        <v>1497</v>
      </c>
      <c r="AB41" s="391">
        <v>599</v>
      </c>
      <c r="AC41" s="391">
        <v>764</v>
      </c>
      <c r="AD41" s="391">
        <v>1363</v>
      </c>
      <c r="AE41" s="391">
        <v>506</v>
      </c>
      <c r="AF41" s="391">
        <v>679</v>
      </c>
      <c r="AG41" s="391">
        <v>1185</v>
      </c>
      <c r="AH41" s="389">
        <v>0.84474123539232049</v>
      </c>
      <c r="AI41" s="389">
        <v>0.88874345549738221</v>
      </c>
      <c r="AJ41" s="389">
        <v>0.86940572267057958</v>
      </c>
      <c r="AK41" s="391">
        <v>506</v>
      </c>
      <c r="AL41" s="391">
        <v>679</v>
      </c>
      <c r="AM41" s="391">
        <v>1185</v>
      </c>
      <c r="AN41" s="391">
        <v>320</v>
      </c>
      <c r="AO41" s="391">
        <v>470</v>
      </c>
      <c r="AP41" s="391">
        <v>790</v>
      </c>
      <c r="AQ41" s="389">
        <v>0.6324110671936759</v>
      </c>
      <c r="AR41" s="389">
        <v>0.6921944035346097</v>
      </c>
      <c r="AS41" s="389">
        <v>0.66666666666666663</v>
      </c>
      <c r="AT41" s="391">
        <v>2593</v>
      </c>
      <c r="AU41" s="391">
        <v>2018</v>
      </c>
      <c r="AV41" s="391">
        <v>4611</v>
      </c>
      <c r="AW41" s="391">
        <v>2456</v>
      </c>
      <c r="AX41" s="391">
        <v>1964</v>
      </c>
      <c r="AY41" s="391">
        <v>4420</v>
      </c>
      <c r="AZ41" s="391">
        <v>2043</v>
      </c>
      <c r="BA41" s="391">
        <v>1669</v>
      </c>
      <c r="BB41" s="391">
        <v>3712</v>
      </c>
      <c r="BC41" s="389">
        <v>0.83184039087947881</v>
      </c>
      <c r="BD41" s="389">
        <v>0.84979633401221999</v>
      </c>
      <c r="BE41" s="389">
        <v>0.83981900452488689</v>
      </c>
      <c r="BF41" s="391">
        <v>2043</v>
      </c>
      <c r="BG41" s="391">
        <v>1669</v>
      </c>
      <c r="BH41" s="391">
        <v>3712</v>
      </c>
      <c r="BI41" s="391">
        <v>1294</v>
      </c>
      <c r="BJ41" s="391">
        <v>1130</v>
      </c>
      <c r="BK41" s="391">
        <v>2424</v>
      </c>
      <c r="BL41" s="389">
        <v>0.63338228095937343</v>
      </c>
      <c r="BM41" s="389">
        <v>0.67705212702216899</v>
      </c>
      <c r="BN41" s="389">
        <v>0.65301724137931039</v>
      </c>
      <c r="BO41" s="391">
        <v>8467</v>
      </c>
      <c r="BP41" s="391">
        <v>6394</v>
      </c>
      <c r="BQ41" s="391">
        <v>14861</v>
      </c>
      <c r="BR41" s="391">
        <v>6656</v>
      </c>
      <c r="BS41" s="391">
        <v>5686</v>
      </c>
      <c r="BT41" s="391">
        <v>12342</v>
      </c>
      <c r="BU41" s="391">
        <v>5618</v>
      </c>
      <c r="BV41" s="391">
        <v>5047</v>
      </c>
      <c r="BW41" s="391">
        <v>10665</v>
      </c>
      <c r="BX41" s="389">
        <v>0.84405048076923073</v>
      </c>
      <c r="BY41" s="389">
        <v>0.88761871262750613</v>
      </c>
      <c r="BZ41" s="389">
        <v>0.86412250850753525</v>
      </c>
      <c r="CA41" s="391">
        <v>5618</v>
      </c>
      <c r="CB41" s="391">
        <v>5047</v>
      </c>
      <c r="CC41" s="391">
        <v>10665</v>
      </c>
      <c r="CD41" s="391">
        <v>3984</v>
      </c>
      <c r="CE41" s="391">
        <v>3852</v>
      </c>
      <c r="CF41" s="391">
        <v>7836</v>
      </c>
      <c r="CG41" s="389">
        <v>0.70914916340334644</v>
      </c>
      <c r="CH41" s="389">
        <v>0.76322567862096291</v>
      </c>
      <c r="CI41" s="389">
        <v>0.73473980309423348</v>
      </c>
      <c r="CJ41" s="391">
        <v>76</v>
      </c>
      <c r="CK41" s="391">
        <v>29</v>
      </c>
      <c r="CL41" s="391">
        <v>105</v>
      </c>
      <c r="CM41" s="391">
        <v>60</v>
      </c>
      <c r="CN41" s="391">
        <v>23</v>
      </c>
      <c r="CO41" s="391">
        <v>83</v>
      </c>
      <c r="CP41" s="391">
        <v>44</v>
      </c>
      <c r="CQ41" s="391">
        <v>14</v>
      </c>
      <c r="CR41" s="391">
        <v>58</v>
      </c>
      <c r="CS41" s="389">
        <v>0.73333333333333328</v>
      </c>
      <c r="CT41" s="389">
        <v>0.60869565217391308</v>
      </c>
      <c r="CU41" s="389">
        <v>0.6987951807228916</v>
      </c>
      <c r="CV41" s="391">
        <v>44</v>
      </c>
      <c r="CW41" s="391">
        <v>14</v>
      </c>
      <c r="CX41" s="391">
        <v>58</v>
      </c>
      <c r="CY41" s="391">
        <v>18</v>
      </c>
      <c r="CZ41" s="391">
        <v>2</v>
      </c>
      <c r="DA41" s="391">
        <v>20</v>
      </c>
      <c r="DB41" s="389">
        <v>0.40909090909090912</v>
      </c>
      <c r="DC41" s="389">
        <v>0.14285714285714285</v>
      </c>
      <c r="DD41" s="389">
        <v>0.34482758620689657</v>
      </c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H41" s="71"/>
      <c r="EI41" s="71"/>
      <c r="EJ41" s="71"/>
    </row>
    <row r="42" spans="1:140" s="362" customFormat="1" ht="31.5" customHeight="1" x14ac:dyDescent="0.25">
      <c r="A42" s="423">
        <v>36</v>
      </c>
      <c r="B42" s="490"/>
      <c r="C42" s="401" t="s">
        <v>166</v>
      </c>
      <c r="D42" s="391">
        <v>14</v>
      </c>
      <c r="E42" s="391">
        <v>6</v>
      </c>
      <c r="F42" s="391">
        <v>20</v>
      </c>
      <c r="G42" s="391">
        <v>14</v>
      </c>
      <c r="H42" s="391">
        <v>6</v>
      </c>
      <c r="I42" s="391">
        <v>20</v>
      </c>
      <c r="J42" s="391">
        <v>14</v>
      </c>
      <c r="K42" s="391">
        <v>6</v>
      </c>
      <c r="L42" s="391">
        <v>20</v>
      </c>
      <c r="M42" s="389">
        <v>1</v>
      </c>
      <c r="N42" s="389">
        <v>1</v>
      </c>
      <c r="O42" s="389">
        <v>1</v>
      </c>
      <c r="P42" s="391">
        <v>14</v>
      </c>
      <c r="Q42" s="391">
        <v>6</v>
      </c>
      <c r="R42" s="391">
        <v>20</v>
      </c>
      <c r="S42" s="391">
        <v>4</v>
      </c>
      <c r="T42" s="391">
        <v>1</v>
      </c>
      <c r="U42" s="391">
        <v>5</v>
      </c>
      <c r="V42" s="389">
        <v>0.2857142857142857</v>
      </c>
      <c r="W42" s="389">
        <v>0.16666666666666666</v>
      </c>
      <c r="X42" s="389">
        <v>0.25</v>
      </c>
      <c r="Y42" s="393"/>
      <c r="Z42" s="393"/>
      <c r="AA42" s="393"/>
      <c r="AB42" s="393"/>
      <c r="AC42" s="393"/>
      <c r="AD42" s="393"/>
      <c r="AE42" s="393"/>
      <c r="AF42" s="393"/>
      <c r="AG42" s="393"/>
      <c r="AH42" s="390"/>
      <c r="AI42" s="390"/>
      <c r="AJ42" s="390"/>
      <c r="AK42" s="390"/>
      <c r="AL42" s="390"/>
      <c r="AM42" s="390"/>
      <c r="AN42" s="390"/>
      <c r="AO42" s="390"/>
      <c r="AP42" s="390"/>
      <c r="AQ42" s="390"/>
      <c r="AR42" s="390"/>
      <c r="AS42" s="390"/>
      <c r="AT42" s="391">
        <v>14</v>
      </c>
      <c r="AU42" s="391">
        <v>6</v>
      </c>
      <c r="AV42" s="391">
        <v>20</v>
      </c>
      <c r="AW42" s="391">
        <v>14</v>
      </c>
      <c r="AX42" s="391">
        <v>6</v>
      </c>
      <c r="AY42" s="391">
        <v>20</v>
      </c>
      <c r="AZ42" s="391">
        <v>14</v>
      </c>
      <c r="BA42" s="391">
        <v>6</v>
      </c>
      <c r="BB42" s="391">
        <v>20</v>
      </c>
      <c r="BC42" s="389">
        <v>1</v>
      </c>
      <c r="BD42" s="389">
        <v>1</v>
      </c>
      <c r="BE42" s="389">
        <v>1</v>
      </c>
      <c r="BF42" s="391">
        <v>14</v>
      </c>
      <c r="BG42" s="391">
        <v>6</v>
      </c>
      <c r="BH42" s="391">
        <v>20</v>
      </c>
      <c r="BI42" s="391">
        <v>4</v>
      </c>
      <c r="BJ42" s="391">
        <v>1</v>
      </c>
      <c r="BK42" s="391">
        <v>5</v>
      </c>
      <c r="BL42" s="389">
        <v>0.2857142857142857</v>
      </c>
      <c r="BM42" s="389">
        <v>0.16666666666666666</v>
      </c>
      <c r="BN42" s="389">
        <v>0.25</v>
      </c>
      <c r="BO42" s="390"/>
      <c r="BP42" s="390"/>
      <c r="BQ42" s="390"/>
      <c r="BR42" s="390"/>
      <c r="BS42" s="390"/>
      <c r="BT42" s="390"/>
      <c r="BU42" s="390"/>
      <c r="BV42" s="390"/>
      <c r="BW42" s="390"/>
      <c r="BX42" s="390"/>
      <c r="BY42" s="390"/>
      <c r="BZ42" s="390"/>
      <c r="CA42" s="390"/>
      <c r="CB42" s="390"/>
      <c r="CC42" s="390"/>
      <c r="CD42" s="390"/>
      <c r="CE42" s="390"/>
      <c r="CF42" s="390"/>
      <c r="CG42" s="390"/>
      <c r="CH42" s="390"/>
      <c r="CI42" s="390"/>
      <c r="CJ42" s="390"/>
      <c r="CK42" s="390"/>
      <c r="CL42" s="390"/>
      <c r="CM42" s="390"/>
      <c r="CN42" s="390"/>
      <c r="CO42" s="390"/>
      <c r="CP42" s="390"/>
      <c r="CQ42" s="390"/>
      <c r="CR42" s="390"/>
      <c r="CS42" s="390"/>
      <c r="CT42" s="390"/>
      <c r="CU42" s="390"/>
      <c r="CV42" s="390"/>
      <c r="CW42" s="390"/>
      <c r="CX42" s="390"/>
      <c r="CY42" s="390"/>
      <c r="CZ42" s="390"/>
      <c r="DA42" s="390"/>
      <c r="DB42" s="390"/>
      <c r="DC42" s="390"/>
      <c r="DD42" s="390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H42"/>
      <c r="EI42"/>
      <c r="EJ42"/>
    </row>
    <row r="43" spans="1:140" s="362" customFormat="1" ht="31.5" x14ac:dyDescent="0.25">
      <c r="A43" s="423">
        <v>37</v>
      </c>
      <c r="B43" s="490"/>
      <c r="C43" s="401" t="s">
        <v>344</v>
      </c>
      <c r="D43" s="391">
        <v>113</v>
      </c>
      <c r="E43" s="391">
        <v>49</v>
      </c>
      <c r="F43" s="391">
        <v>162</v>
      </c>
      <c r="G43" s="391">
        <v>77</v>
      </c>
      <c r="H43" s="391">
        <v>34</v>
      </c>
      <c r="I43" s="391">
        <v>111</v>
      </c>
      <c r="J43" s="391">
        <v>67</v>
      </c>
      <c r="K43" s="391">
        <v>25</v>
      </c>
      <c r="L43" s="391">
        <v>92</v>
      </c>
      <c r="M43" s="389">
        <v>0.87012987012987009</v>
      </c>
      <c r="N43" s="389">
        <v>0.73529411764705888</v>
      </c>
      <c r="O43" s="389">
        <v>0.8288288288288288</v>
      </c>
      <c r="P43" s="391">
        <v>67</v>
      </c>
      <c r="Q43" s="391">
        <v>25</v>
      </c>
      <c r="R43" s="391">
        <v>92</v>
      </c>
      <c r="S43" s="391">
        <v>67</v>
      </c>
      <c r="T43" s="391">
        <v>25</v>
      </c>
      <c r="U43" s="391">
        <v>92</v>
      </c>
      <c r="V43" s="389">
        <v>1</v>
      </c>
      <c r="W43" s="389">
        <v>1</v>
      </c>
      <c r="X43" s="389">
        <v>1</v>
      </c>
      <c r="Y43" s="393"/>
      <c r="Z43" s="393"/>
      <c r="AA43" s="393"/>
      <c r="AB43" s="393"/>
      <c r="AC43" s="393"/>
      <c r="AD43" s="393"/>
      <c r="AE43" s="393"/>
      <c r="AF43" s="393"/>
      <c r="AG43" s="393"/>
      <c r="AH43" s="393"/>
      <c r="AI43" s="393"/>
      <c r="AJ43" s="393"/>
      <c r="AK43" s="393"/>
      <c r="AL43" s="393"/>
      <c r="AM43" s="393"/>
      <c r="AN43" s="393"/>
      <c r="AO43" s="393"/>
      <c r="AP43" s="393"/>
      <c r="AQ43" s="393"/>
      <c r="AR43" s="393"/>
      <c r="AS43" s="393"/>
      <c r="AT43" s="391">
        <v>72</v>
      </c>
      <c r="AU43" s="391">
        <v>32</v>
      </c>
      <c r="AV43" s="391">
        <v>104</v>
      </c>
      <c r="AW43" s="391">
        <v>47</v>
      </c>
      <c r="AX43" s="391">
        <v>24</v>
      </c>
      <c r="AY43" s="391">
        <v>71</v>
      </c>
      <c r="AZ43" s="391">
        <v>42</v>
      </c>
      <c r="BA43" s="391">
        <v>17</v>
      </c>
      <c r="BB43" s="391">
        <v>59</v>
      </c>
      <c r="BC43" s="389">
        <v>0.8936170212765957</v>
      </c>
      <c r="BD43" s="389">
        <v>0.70833333333333337</v>
      </c>
      <c r="BE43" s="389">
        <v>0.83098591549295775</v>
      </c>
      <c r="BF43" s="391">
        <v>42</v>
      </c>
      <c r="BG43" s="391">
        <v>17</v>
      </c>
      <c r="BH43" s="391">
        <v>59</v>
      </c>
      <c r="BI43" s="391">
        <v>42</v>
      </c>
      <c r="BJ43" s="391">
        <v>17</v>
      </c>
      <c r="BK43" s="391">
        <v>59</v>
      </c>
      <c r="BL43" s="389">
        <v>1</v>
      </c>
      <c r="BM43" s="389">
        <v>1</v>
      </c>
      <c r="BN43" s="389">
        <v>1</v>
      </c>
      <c r="BO43" s="391">
        <v>41</v>
      </c>
      <c r="BP43" s="391">
        <v>17</v>
      </c>
      <c r="BQ43" s="391">
        <v>58</v>
      </c>
      <c r="BR43" s="391">
        <v>30</v>
      </c>
      <c r="BS43" s="391">
        <v>10</v>
      </c>
      <c r="BT43" s="391">
        <v>40</v>
      </c>
      <c r="BU43" s="391">
        <v>25</v>
      </c>
      <c r="BV43" s="391">
        <v>8</v>
      </c>
      <c r="BW43" s="391">
        <v>33</v>
      </c>
      <c r="BX43" s="389">
        <v>0.83333333333333337</v>
      </c>
      <c r="BY43" s="389">
        <v>0.8</v>
      </c>
      <c r="BZ43" s="389">
        <v>0.82499999999999996</v>
      </c>
      <c r="CA43" s="391">
        <v>25</v>
      </c>
      <c r="CB43" s="391">
        <v>8</v>
      </c>
      <c r="CC43" s="391">
        <v>33</v>
      </c>
      <c r="CD43" s="391">
        <v>25</v>
      </c>
      <c r="CE43" s="391">
        <v>8</v>
      </c>
      <c r="CF43" s="391">
        <v>33</v>
      </c>
      <c r="CG43" s="389">
        <v>1</v>
      </c>
      <c r="CH43" s="389">
        <v>1</v>
      </c>
      <c r="CI43" s="389">
        <v>1</v>
      </c>
      <c r="CJ43" s="390"/>
      <c r="CK43" s="390"/>
      <c r="CL43" s="390"/>
      <c r="CM43" s="390"/>
      <c r="CN43" s="390"/>
      <c r="CO43" s="390"/>
      <c r="CP43" s="390"/>
      <c r="CQ43" s="390"/>
      <c r="CR43" s="390"/>
      <c r="CS43" s="390"/>
      <c r="CT43" s="390"/>
      <c r="CU43" s="390"/>
      <c r="CV43" s="390"/>
      <c r="CW43" s="390"/>
      <c r="CX43" s="390"/>
      <c r="CY43" s="390"/>
      <c r="CZ43" s="390"/>
      <c r="DA43" s="390"/>
      <c r="DB43" s="390"/>
      <c r="DC43" s="390"/>
      <c r="DD43" s="390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H43"/>
      <c r="EI43"/>
      <c r="EJ43"/>
    </row>
    <row r="44" spans="1:140" s="362" customFormat="1" ht="47.25" x14ac:dyDescent="0.25">
      <c r="A44" s="423">
        <v>38</v>
      </c>
      <c r="B44" s="491"/>
      <c r="C44" s="401" t="s">
        <v>132</v>
      </c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  <c r="T44" s="393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0"/>
      <c r="AI44" s="390"/>
      <c r="AJ44" s="390"/>
      <c r="AK44" s="390"/>
      <c r="AL44" s="390"/>
      <c r="AM44" s="390"/>
      <c r="AN44" s="390"/>
      <c r="AO44" s="390"/>
      <c r="AP44" s="390"/>
      <c r="AQ44" s="390"/>
      <c r="AR44" s="390"/>
      <c r="AS44" s="390"/>
      <c r="AT44" s="390"/>
      <c r="AU44" s="390"/>
      <c r="AV44" s="390"/>
      <c r="AW44" s="390"/>
      <c r="AX44" s="390"/>
      <c r="AY44" s="390"/>
      <c r="AZ44" s="390"/>
      <c r="BA44" s="390"/>
      <c r="BB44" s="390"/>
      <c r="BC44" s="390"/>
      <c r="BD44" s="390"/>
      <c r="BE44" s="390"/>
      <c r="BF44" s="390"/>
      <c r="BG44" s="390"/>
      <c r="BH44" s="390"/>
      <c r="BI44" s="390"/>
      <c r="BJ44" s="390"/>
      <c r="BK44" s="390"/>
      <c r="BL44" s="390"/>
      <c r="BM44" s="390"/>
      <c r="BN44" s="390"/>
      <c r="BO44" s="390"/>
      <c r="BP44" s="390"/>
      <c r="BQ44" s="390"/>
      <c r="BR44" s="390"/>
      <c r="BS44" s="390"/>
      <c r="BT44" s="390"/>
      <c r="BU44" s="390"/>
      <c r="BV44" s="390"/>
      <c r="BW44" s="390"/>
      <c r="BX44" s="390"/>
      <c r="BY44" s="390"/>
      <c r="BZ44" s="390"/>
      <c r="CA44" s="390"/>
      <c r="CB44" s="390"/>
      <c r="CC44" s="390"/>
      <c r="CD44" s="390"/>
      <c r="CE44" s="390"/>
      <c r="CF44" s="390"/>
      <c r="CG44" s="390"/>
      <c r="CH44" s="390"/>
      <c r="CI44" s="390"/>
      <c r="CJ44" s="390"/>
      <c r="CK44" s="390"/>
      <c r="CL44" s="390"/>
      <c r="CM44" s="390"/>
      <c r="CN44" s="390"/>
      <c r="CO44" s="390"/>
      <c r="CP44" s="390"/>
      <c r="CQ44" s="390"/>
      <c r="CR44" s="390"/>
      <c r="CS44" s="390"/>
      <c r="CT44" s="390"/>
      <c r="CU44" s="390"/>
      <c r="CV44" s="390"/>
      <c r="CW44" s="390"/>
      <c r="CX44" s="390"/>
      <c r="CY44" s="390"/>
      <c r="CZ44" s="390"/>
      <c r="DA44" s="390"/>
      <c r="DB44" s="390"/>
      <c r="DC44" s="390"/>
      <c r="DD44" s="390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H44"/>
      <c r="EI44"/>
      <c r="EJ44"/>
    </row>
    <row r="45" spans="1:140" s="378" customFormat="1" ht="31.5" x14ac:dyDescent="0.25">
      <c r="A45" s="423">
        <v>39</v>
      </c>
      <c r="B45" s="492" t="s">
        <v>385</v>
      </c>
      <c r="C45" s="401" t="s">
        <v>169</v>
      </c>
      <c r="D45" s="391">
        <v>2094</v>
      </c>
      <c r="E45" s="391">
        <v>1966</v>
      </c>
      <c r="F45" s="391">
        <v>4060</v>
      </c>
      <c r="G45" s="391">
        <v>2048</v>
      </c>
      <c r="H45" s="391">
        <v>1948</v>
      </c>
      <c r="I45" s="391">
        <v>3996</v>
      </c>
      <c r="J45" s="391">
        <v>1390</v>
      </c>
      <c r="K45" s="391">
        <v>1600</v>
      </c>
      <c r="L45" s="391">
        <v>2990</v>
      </c>
      <c r="M45" s="389">
        <v>0.6787109375</v>
      </c>
      <c r="N45" s="389">
        <v>0.82135523613963035</v>
      </c>
      <c r="O45" s="389">
        <v>0.7482482482482482</v>
      </c>
      <c r="P45" s="391">
        <v>1390</v>
      </c>
      <c r="Q45" s="391">
        <v>1600</v>
      </c>
      <c r="R45" s="391">
        <v>2990</v>
      </c>
      <c r="S45" s="391">
        <v>336</v>
      </c>
      <c r="T45" s="391">
        <v>499</v>
      </c>
      <c r="U45" s="391">
        <v>835</v>
      </c>
      <c r="V45" s="389">
        <v>0.24172661870503598</v>
      </c>
      <c r="W45" s="389">
        <v>0.31187500000000001</v>
      </c>
      <c r="X45" s="389">
        <v>0.27926421404682272</v>
      </c>
      <c r="Y45" s="391">
        <v>956</v>
      </c>
      <c r="Z45" s="391">
        <v>1188</v>
      </c>
      <c r="AA45" s="391">
        <v>2144</v>
      </c>
      <c r="AB45" s="391">
        <v>931</v>
      </c>
      <c r="AC45" s="391">
        <v>1176</v>
      </c>
      <c r="AD45" s="391">
        <v>2107</v>
      </c>
      <c r="AE45" s="391">
        <v>585</v>
      </c>
      <c r="AF45" s="391">
        <v>922</v>
      </c>
      <c r="AG45" s="391">
        <v>1507</v>
      </c>
      <c r="AH45" s="389">
        <v>0.6283566058002148</v>
      </c>
      <c r="AI45" s="389">
        <v>0.78401360544217691</v>
      </c>
      <c r="AJ45" s="389">
        <v>0.71523493118177506</v>
      </c>
      <c r="AK45" s="391">
        <v>585</v>
      </c>
      <c r="AL45" s="391">
        <v>922</v>
      </c>
      <c r="AM45" s="391">
        <v>1507</v>
      </c>
      <c r="AN45" s="391">
        <v>90</v>
      </c>
      <c r="AO45" s="391">
        <v>206</v>
      </c>
      <c r="AP45" s="391">
        <v>296</v>
      </c>
      <c r="AQ45" s="389">
        <v>0.15384615384615385</v>
      </c>
      <c r="AR45" s="389">
        <v>0.22342733188720174</v>
      </c>
      <c r="AS45" s="389">
        <v>0.19641672196416721</v>
      </c>
      <c r="AT45" s="391">
        <v>313</v>
      </c>
      <c r="AU45" s="391">
        <v>268</v>
      </c>
      <c r="AV45" s="391">
        <v>581</v>
      </c>
      <c r="AW45" s="391">
        <v>305</v>
      </c>
      <c r="AX45" s="391">
        <v>266</v>
      </c>
      <c r="AY45" s="391">
        <v>571</v>
      </c>
      <c r="AZ45" s="391">
        <v>195</v>
      </c>
      <c r="BA45" s="391">
        <v>228</v>
      </c>
      <c r="BB45" s="391">
        <v>423</v>
      </c>
      <c r="BC45" s="389">
        <v>0.63934426229508201</v>
      </c>
      <c r="BD45" s="389">
        <v>0.8571428571428571</v>
      </c>
      <c r="BE45" s="389">
        <v>0.74080560420315233</v>
      </c>
      <c r="BF45" s="391">
        <v>195</v>
      </c>
      <c r="BG45" s="391">
        <v>228</v>
      </c>
      <c r="BH45" s="391">
        <v>423</v>
      </c>
      <c r="BI45" s="391">
        <v>30</v>
      </c>
      <c r="BJ45" s="391">
        <v>74</v>
      </c>
      <c r="BK45" s="391">
        <v>104</v>
      </c>
      <c r="BL45" s="389">
        <v>0.15384615384615385</v>
      </c>
      <c r="BM45" s="389">
        <v>0.32456140350877194</v>
      </c>
      <c r="BN45" s="389">
        <v>0.2458628841607565</v>
      </c>
      <c r="BO45" s="391">
        <v>825</v>
      </c>
      <c r="BP45" s="391">
        <v>510</v>
      </c>
      <c r="BQ45" s="391">
        <v>1335</v>
      </c>
      <c r="BR45" s="391">
        <v>812</v>
      </c>
      <c r="BS45" s="391">
        <v>506</v>
      </c>
      <c r="BT45" s="391">
        <v>1318</v>
      </c>
      <c r="BU45" s="391">
        <v>610</v>
      </c>
      <c r="BV45" s="391">
        <v>450</v>
      </c>
      <c r="BW45" s="391">
        <v>1060</v>
      </c>
      <c r="BX45" s="389">
        <v>0.75123152709359609</v>
      </c>
      <c r="BY45" s="389">
        <v>0.88932806324110669</v>
      </c>
      <c r="BZ45" s="389">
        <v>0.80424886191198786</v>
      </c>
      <c r="CA45" s="391">
        <v>610</v>
      </c>
      <c r="CB45" s="391">
        <v>450</v>
      </c>
      <c r="CC45" s="391">
        <v>1060</v>
      </c>
      <c r="CD45" s="391">
        <v>216</v>
      </c>
      <c r="CE45" s="391">
        <v>219</v>
      </c>
      <c r="CF45" s="391">
        <v>435</v>
      </c>
      <c r="CG45" s="389">
        <v>0.35409836065573769</v>
      </c>
      <c r="CH45" s="389">
        <v>0.48666666666666669</v>
      </c>
      <c r="CI45" s="389">
        <v>0.41037735849056606</v>
      </c>
      <c r="CJ45" s="390"/>
      <c r="CK45" s="390"/>
      <c r="CL45" s="390"/>
      <c r="CM45" s="390"/>
      <c r="CN45" s="390"/>
      <c r="CO45" s="390"/>
      <c r="CP45" s="390"/>
      <c r="CQ45" s="390"/>
      <c r="CR45" s="390"/>
      <c r="CS45" s="390"/>
      <c r="CT45" s="390"/>
      <c r="CU45" s="390"/>
      <c r="CV45" s="390"/>
      <c r="CW45" s="390"/>
      <c r="CX45" s="390"/>
      <c r="CY45" s="390"/>
      <c r="CZ45" s="390"/>
      <c r="DA45" s="390"/>
      <c r="DB45" s="390"/>
      <c r="DC45" s="390"/>
      <c r="DD45" s="390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H45"/>
      <c r="EI45"/>
      <c r="EJ45"/>
    </row>
    <row r="46" spans="1:140" s="362" customFormat="1" ht="31.5" x14ac:dyDescent="0.25">
      <c r="A46" s="423">
        <v>40</v>
      </c>
      <c r="B46" s="493"/>
      <c r="C46" s="401" t="s">
        <v>214</v>
      </c>
      <c r="D46" s="391">
        <v>6</v>
      </c>
      <c r="E46" s="391">
        <v>0</v>
      </c>
      <c r="F46" s="391">
        <v>6</v>
      </c>
      <c r="G46" s="391">
        <v>6</v>
      </c>
      <c r="H46" s="391">
        <v>0</v>
      </c>
      <c r="I46" s="391">
        <v>6</v>
      </c>
      <c r="J46" s="391">
        <v>4</v>
      </c>
      <c r="K46" s="391">
        <v>0</v>
      </c>
      <c r="L46" s="391">
        <v>4</v>
      </c>
      <c r="M46" s="389">
        <v>0.66666666666666663</v>
      </c>
      <c r="N46" s="393"/>
      <c r="O46" s="389">
        <v>0.66666666666666663</v>
      </c>
      <c r="P46" s="391">
        <v>4</v>
      </c>
      <c r="Q46" s="391">
        <v>0</v>
      </c>
      <c r="R46" s="391">
        <v>4</v>
      </c>
      <c r="S46" s="391">
        <v>1</v>
      </c>
      <c r="T46" s="391">
        <v>0</v>
      </c>
      <c r="U46" s="391">
        <v>1</v>
      </c>
      <c r="V46" s="389">
        <v>0.25</v>
      </c>
      <c r="W46" s="393"/>
      <c r="X46" s="389">
        <v>0.25</v>
      </c>
      <c r="Y46" s="393"/>
      <c r="Z46" s="393"/>
      <c r="AA46" s="393"/>
      <c r="AB46" s="393"/>
      <c r="AC46" s="393"/>
      <c r="AD46" s="393"/>
      <c r="AE46" s="393"/>
      <c r="AF46" s="393"/>
      <c r="AG46" s="393"/>
      <c r="AH46" s="393"/>
      <c r="AI46" s="393"/>
      <c r="AJ46" s="393"/>
      <c r="AK46" s="393"/>
      <c r="AL46" s="393"/>
      <c r="AM46" s="393"/>
      <c r="AN46" s="393"/>
      <c r="AO46" s="393"/>
      <c r="AP46" s="393"/>
      <c r="AQ46" s="393"/>
      <c r="AR46" s="393"/>
      <c r="AS46" s="393"/>
      <c r="AT46" s="391">
        <v>6</v>
      </c>
      <c r="AU46" s="391">
        <v>0</v>
      </c>
      <c r="AV46" s="391">
        <v>6</v>
      </c>
      <c r="AW46" s="391">
        <v>6</v>
      </c>
      <c r="AX46" s="391">
        <v>0</v>
      </c>
      <c r="AY46" s="391">
        <v>6</v>
      </c>
      <c r="AZ46" s="391">
        <v>4</v>
      </c>
      <c r="BA46" s="391">
        <v>0</v>
      </c>
      <c r="BB46" s="391">
        <v>4</v>
      </c>
      <c r="BC46" s="389">
        <v>0.66666666666666663</v>
      </c>
      <c r="BD46" s="390"/>
      <c r="BE46" s="389">
        <v>0.66666666666666663</v>
      </c>
      <c r="BF46" s="391">
        <v>4</v>
      </c>
      <c r="BG46" s="391">
        <v>0</v>
      </c>
      <c r="BH46" s="391">
        <v>4</v>
      </c>
      <c r="BI46" s="391">
        <v>1</v>
      </c>
      <c r="BJ46" s="391">
        <v>0</v>
      </c>
      <c r="BK46" s="391">
        <v>1</v>
      </c>
      <c r="BL46" s="389">
        <v>0.25</v>
      </c>
      <c r="BM46" s="390"/>
      <c r="BN46" s="389">
        <v>0.25</v>
      </c>
      <c r="BO46" s="390"/>
      <c r="BP46" s="390"/>
      <c r="BQ46" s="390"/>
      <c r="BR46" s="390"/>
      <c r="BS46" s="390"/>
      <c r="BT46" s="390"/>
      <c r="BU46" s="390"/>
      <c r="BV46" s="390"/>
      <c r="BW46" s="390"/>
      <c r="BX46" s="390"/>
      <c r="BY46" s="390"/>
      <c r="BZ46" s="390"/>
      <c r="CA46" s="390"/>
      <c r="CB46" s="390"/>
      <c r="CC46" s="390"/>
      <c r="CD46" s="390"/>
      <c r="CE46" s="390"/>
      <c r="CF46" s="390"/>
      <c r="CG46" s="390"/>
      <c r="CH46" s="390"/>
      <c r="CI46" s="390"/>
      <c r="CJ46" s="390"/>
      <c r="CK46" s="390"/>
      <c r="CL46" s="390"/>
      <c r="CM46" s="390"/>
      <c r="CN46" s="390"/>
      <c r="CO46" s="390"/>
      <c r="CP46" s="390"/>
      <c r="CQ46" s="390"/>
      <c r="CR46" s="390"/>
      <c r="CS46" s="390"/>
      <c r="CT46" s="390"/>
      <c r="CU46" s="390"/>
      <c r="CV46" s="390"/>
      <c r="CW46" s="390"/>
      <c r="CX46" s="390"/>
      <c r="CY46" s="390"/>
      <c r="CZ46" s="390"/>
      <c r="DA46" s="390"/>
      <c r="DB46" s="390"/>
      <c r="DC46" s="390"/>
      <c r="DD46" s="390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H46"/>
      <c r="EI46"/>
      <c r="EJ46"/>
    </row>
    <row r="47" spans="1:140" s="362" customFormat="1" ht="31.5" x14ac:dyDescent="0.25">
      <c r="A47" s="423">
        <v>41</v>
      </c>
      <c r="B47" s="487" t="s">
        <v>386</v>
      </c>
      <c r="C47" s="401" t="s">
        <v>314</v>
      </c>
      <c r="D47" s="393"/>
      <c r="E47" s="393"/>
      <c r="F47" s="393"/>
      <c r="G47" s="393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  <c r="T47" s="393"/>
      <c r="U47" s="393"/>
      <c r="V47" s="393"/>
      <c r="W47" s="393"/>
      <c r="X47" s="393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3"/>
      <c r="AJ47" s="393"/>
      <c r="AK47" s="393"/>
      <c r="AL47" s="393"/>
      <c r="AM47" s="393"/>
      <c r="AN47" s="393"/>
      <c r="AO47" s="393"/>
      <c r="AP47" s="393"/>
      <c r="AQ47" s="393"/>
      <c r="AR47" s="393"/>
      <c r="AS47" s="393"/>
      <c r="AT47" s="390"/>
      <c r="AU47" s="390"/>
      <c r="AV47" s="390"/>
      <c r="AW47" s="390"/>
      <c r="AX47" s="390"/>
      <c r="AY47" s="390"/>
      <c r="AZ47" s="390"/>
      <c r="BA47" s="390"/>
      <c r="BB47" s="390"/>
      <c r="BC47" s="390"/>
      <c r="BD47" s="390"/>
      <c r="BE47" s="390"/>
      <c r="BF47" s="390"/>
      <c r="BG47" s="390"/>
      <c r="BH47" s="390"/>
      <c r="BI47" s="390"/>
      <c r="BJ47" s="390"/>
      <c r="BK47" s="390"/>
      <c r="BL47" s="390"/>
      <c r="BM47" s="390"/>
      <c r="BN47" s="390"/>
      <c r="BO47" s="390"/>
      <c r="BP47" s="390"/>
      <c r="BQ47" s="390"/>
      <c r="BR47" s="390"/>
      <c r="BS47" s="390"/>
      <c r="BT47" s="390"/>
      <c r="BU47" s="390"/>
      <c r="BV47" s="390"/>
      <c r="BW47" s="390"/>
      <c r="BX47" s="390"/>
      <c r="BY47" s="390"/>
      <c r="BZ47" s="390"/>
      <c r="CA47" s="390"/>
      <c r="CB47" s="390"/>
      <c r="CC47" s="390"/>
      <c r="CD47" s="390"/>
      <c r="CE47" s="390"/>
      <c r="CF47" s="390"/>
      <c r="CG47" s="390"/>
      <c r="CH47" s="390"/>
      <c r="CI47" s="390"/>
      <c r="CJ47" s="390"/>
      <c r="CK47" s="390"/>
      <c r="CL47" s="390"/>
      <c r="CM47" s="390"/>
      <c r="CN47" s="390"/>
      <c r="CO47" s="390"/>
      <c r="CP47" s="390"/>
      <c r="CQ47" s="390"/>
      <c r="CR47" s="390"/>
      <c r="CS47" s="390"/>
      <c r="CT47" s="390"/>
      <c r="CU47" s="390"/>
      <c r="CV47" s="390"/>
      <c r="CW47" s="390"/>
      <c r="CX47" s="390"/>
      <c r="CY47" s="390"/>
      <c r="CZ47" s="390"/>
      <c r="DA47" s="390"/>
      <c r="DB47" s="390"/>
      <c r="DC47" s="390"/>
      <c r="DD47" s="390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H47"/>
      <c r="EI47"/>
      <c r="EJ47"/>
    </row>
    <row r="48" spans="1:140" s="362" customFormat="1" ht="31.5" x14ac:dyDescent="0.25">
      <c r="A48" s="423">
        <v>42</v>
      </c>
      <c r="B48" s="487"/>
      <c r="C48" s="401" t="s">
        <v>171</v>
      </c>
      <c r="D48" s="391">
        <v>142</v>
      </c>
      <c r="E48" s="391">
        <v>180</v>
      </c>
      <c r="F48" s="391">
        <v>322</v>
      </c>
      <c r="G48" s="391">
        <v>125</v>
      </c>
      <c r="H48" s="391">
        <v>168</v>
      </c>
      <c r="I48" s="391">
        <v>293</v>
      </c>
      <c r="J48" s="391">
        <v>91</v>
      </c>
      <c r="K48" s="391">
        <v>132</v>
      </c>
      <c r="L48" s="391">
        <v>223</v>
      </c>
      <c r="M48" s="389">
        <v>0.72799999999999998</v>
      </c>
      <c r="N48" s="389">
        <v>0.7857142857142857</v>
      </c>
      <c r="O48" s="389">
        <v>0.76109215017064846</v>
      </c>
      <c r="P48" s="391">
        <v>91</v>
      </c>
      <c r="Q48" s="391">
        <v>132</v>
      </c>
      <c r="R48" s="391">
        <v>223</v>
      </c>
      <c r="S48" s="391">
        <v>2</v>
      </c>
      <c r="T48" s="391">
        <v>1</v>
      </c>
      <c r="U48" s="391">
        <v>3</v>
      </c>
      <c r="V48" s="389">
        <v>2.197802197802198E-2</v>
      </c>
      <c r="W48" s="389">
        <v>7.575757575757576E-3</v>
      </c>
      <c r="X48" s="389">
        <v>1.3452914798206279E-2</v>
      </c>
      <c r="Y48" s="393"/>
      <c r="Z48" s="393"/>
      <c r="AA48" s="393"/>
      <c r="AB48" s="393"/>
      <c r="AC48" s="393"/>
      <c r="AD48" s="393"/>
      <c r="AE48" s="393"/>
      <c r="AF48" s="393"/>
      <c r="AG48" s="393"/>
      <c r="AH48" s="393"/>
      <c r="AI48" s="393"/>
      <c r="AJ48" s="393"/>
      <c r="AK48" s="393"/>
      <c r="AL48" s="393"/>
      <c r="AM48" s="393"/>
      <c r="AN48" s="393"/>
      <c r="AO48" s="393"/>
      <c r="AP48" s="393"/>
      <c r="AQ48" s="393"/>
      <c r="AR48" s="393"/>
      <c r="AS48" s="393"/>
      <c r="AT48" s="391">
        <v>142</v>
      </c>
      <c r="AU48" s="391">
        <v>180</v>
      </c>
      <c r="AV48" s="391">
        <v>322</v>
      </c>
      <c r="AW48" s="391">
        <v>125</v>
      </c>
      <c r="AX48" s="391">
        <v>168</v>
      </c>
      <c r="AY48" s="391">
        <v>293</v>
      </c>
      <c r="AZ48" s="391">
        <v>91</v>
      </c>
      <c r="BA48" s="391">
        <v>132</v>
      </c>
      <c r="BB48" s="391">
        <v>223</v>
      </c>
      <c r="BC48" s="389">
        <v>0.72799999999999998</v>
      </c>
      <c r="BD48" s="389">
        <v>0.7857142857142857</v>
      </c>
      <c r="BE48" s="389">
        <v>0.76109215017064846</v>
      </c>
      <c r="BF48" s="391">
        <v>91</v>
      </c>
      <c r="BG48" s="391">
        <v>132</v>
      </c>
      <c r="BH48" s="391">
        <v>223</v>
      </c>
      <c r="BI48" s="391">
        <v>2</v>
      </c>
      <c r="BJ48" s="391">
        <v>1</v>
      </c>
      <c r="BK48" s="391">
        <v>3</v>
      </c>
      <c r="BL48" s="389">
        <v>2.197802197802198E-2</v>
      </c>
      <c r="BM48" s="389">
        <v>7.575757575757576E-3</v>
      </c>
      <c r="BN48" s="389">
        <v>1.3452914798206279E-2</v>
      </c>
      <c r="BO48" s="390"/>
      <c r="BP48" s="390"/>
      <c r="BQ48" s="390"/>
      <c r="BR48" s="390"/>
      <c r="BS48" s="390"/>
      <c r="BT48" s="390"/>
      <c r="BU48" s="390"/>
      <c r="BV48" s="390"/>
      <c r="BW48" s="390"/>
      <c r="BX48" s="390"/>
      <c r="BY48" s="390"/>
      <c r="BZ48" s="390"/>
      <c r="CA48" s="390"/>
      <c r="CB48" s="390"/>
      <c r="CC48" s="390"/>
      <c r="CD48" s="390"/>
      <c r="CE48" s="390"/>
      <c r="CF48" s="390"/>
      <c r="CG48" s="390"/>
      <c r="CH48" s="390"/>
      <c r="CI48" s="390"/>
      <c r="CJ48" s="390"/>
      <c r="CK48" s="390"/>
      <c r="CL48" s="390"/>
      <c r="CM48" s="390"/>
      <c r="CN48" s="390"/>
      <c r="CO48" s="390"/>
      <c r="CP48" s="390"/>
      <c r="CQ48" s="390"/>
      <c r="CR48" s="390"/>
      <c r="CS48" s="390"/>
      <c r="CT48" s="390"/>
      <c r="CU48" s="390"/>
      <c r="CV48" s="390"/>
      <c r="CW48" s="390"/>
      <c r="CX48" s="390"/>
      <c r="CY48" s="390"/>
      <c r="CZ48" s="390"/>
      <c r="DA48" s="390"/>
      <c r="DB48" s="390"/>
      <c r="DC48" s="390"/>
      <c r="DD48" s="390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H48"/>
      <c r="EI48"/>
      <c r="EJ48"/>
    </row>
    <row r="49" spans="1:108" ht="15.75" x14ac:dyDescent="0.25">
      <c r="A49" s="485" t="s">
        <v>3</v>
      </c>
      <c r="B49" s="485"/>
      <c r="C49" s="485"/>
      <c r="D49" s="417">
        <v>652499</v>
      </c>
      <c r="E49" s="417">
        <v>648954</v>
      </c>
      <c r="F49" s="417">
        <v>1301453</v>
      </c>
      <c r="G49" s="417">
        <v>619870</v>
      </c>
      <c r="H49" s="417">
        <v>629833</v>
      </c>
      <c r="I49" s="417">
        <v>1249703</v>
      </c>
      <c r="J49" s="417">
        <v>455978</v>
      </c>
      <c r="K49" s="417">
        <v>492115</v>
      </c>
      <c r="L49" s="417">
        <v>948093</v>
      </c>
      <c r="M49" s="418">
        <v>0.73560262635713936</v>
      </c>
      <c r="N49" s="418">
        <v>0.78134203828633941</v>
      </c>
      <c r="O49" s="418">
        <v>0.75865465634634788</v>
      </c>
      <c r="P49" s="417">
        <v>455978</v>
      </c>
      <c r="Q49" s="417">
        <v>492115</v>
      </c>
      <c r="R49" s="417">
        <v>948093</v>
      </c>
      <c r="S49" s="417">
        <v>204309</v>
      </c>
      <c r="T49" s="417">
        <v>246689</v>
      </c>
      <c r="U49" s="417">
        <v>450998</v>
      </c>
      <c r="V49" s="418">
        <v>0.44806766993144403</v>
      </c>
      <c r="W49" s="418">
        <v>0.50128323664184182</v>
      </c>
      <c r="X49" s="418">
        <v>0.47568962116585611</v>
      </c>
      <c r="Y49" s="417">
        <v>322013</v>
      </c>
      <c r="Z49" s="417">
        <v>335023</v>
      </c>
      <c r="AA49" s="417">
        <v>657036</v>
      </c>
      <c r="AB49" s="417">
        <v>301844</v>
      </c>
      <c r="AC49" s="417">
        <v>321233</v>
      </c>
      <c r="AD49" s="417">
        <v>623077</v>
      </c>
      <c r="AE49" s="417">
        <v>202673</v>
      </c>
      <c r="AF49" s="417">
        <v>232790</v>
      </c>
      <c r="AG49" s="417">
        <v>435463</v>
      </c>
      <c r="AH49" s="418">
        <v>0.67144949046527347</v>
      </c>
      <c r="AI49" s="418">
        <v>0.72467648093439962</v>
      </c>
      <c r="AJ49" s="418">
        <v>0.6988911482850434</v>
      </c>
      <c r="AK49" s="417">
        <v>202673</v>
      </c>
      <c r="AL49" s="417">
        <v>232790</v>
      </c>
      <c r="AM49" s="417">
        <v>435463</v>
      </c>
      <c r="AN49" s="417">
        <v>72354</v>
      </c>
      <c r="AO49" s="417">
        <v>97064</v>
      </c>
      <c r="AP49" s="417">
        <v>169418</v>
      </c>
      <c r="AQ49" s="418">
        <v>0.35699871221129603</v>
      </c>
      <c r="AR49" s="418">
        <v>0.4169594913870871</v>
      </c>
      <c r="AS49" s="418">
        <v>0.38905257163065521</v>
      </c>
      <c r="AT49" s="417">
        <v>69213</v>
      </c>
      <c r="AU49" s="417">
        <v>62689</v>
      </c>
      <c r="AV49" s="417">
        <v>131902</v>
      </c>
      <c r="AW49" s="417">
        <v>66891</v>
      </c>
      <c r="AX49" s="417">
        <v>60899</v>
      </c>
      <c r="AY49" s="417">
        <v>127790</v>
      </c>
      <c r="AZ49" s="417">
        <v>39782</v>
      </c>
      <c r="BA49" s="417">
        <v>43038</v>
      </c>
      <c r="BB49" s="417">
        <v>82820</v>
      </c>
      <c r="BC49" s="418">
        <v>0.59472873779731206</v>
      </c>
      <c r="BD49" s="418">
        <v>0.70671111184091695</v>
      </c>
      <c r="BE49" s="418">
        <v>0.64809453008842632</v>
      </c>
      <c r="BF49" s="417">
        <v>39782</v>
      </c>
      <c r="BG49" s="417">
        <v>43038</v>
      </c>
      <c r="BH49" s="417">
        <v>82820</v>
      </c>
      <c r="BI49" s="417">
        <v>17004</v>
      </c>
      <c r="BJ49" s="417">
        <v>22299</v>
      </c>
      <c r="BK49" s="417">
        <v>39303</v>
      </c>
      <c r="BL49" s="418">
        <v>0.42742949072444825</v>
      </c>
      <c r="BM49" s="418">
        <v>0.51812351875087137</v>
      </c>
      <c r="BN49" s="418">
        <v>0.47455928519681234</v>
      </c>
      <c r="BO49" s="417">
        <v>195029</v>
      </c>
      <c r="BP49" s="417">
        <v>153283</v>
      </c>
      <c r="BQ49" s="417">
        <v>348312</v>
      </c>
      <c r="BR49" s="417">
        <v>187810</v>
      </c>
      <c r="BS49" s="417">
        <v>149361</v>
      </c>
      <c r="BT49" s="417">
        <v>337171</v>
      </c>
      <c r="BU49" s="417">
        <v>163844</v>
      </c>
      <c r="BV49" s="417">
        <v>135477</v>
      </c>
      <c r="BW49" s="417">
        <v>299321</v>
      </c>
      <c r="BX49" s="418">
        <v>0.8723923113785208</v>
      </c>
      <c r="BY49" s="418">
        <v>0.90704400747183</v>
      </c>
      <c r="BZ49" s="418">
        <v>0.88774242150125604</v>
      </c>
      <c r="CA49" s="417">
        <v>90931</v>
      </c>
      <c r="CB49" s="417">
        <v>70846</v>
      </c>
      <c r="CC49" s="417">
        <v>161777</v>
      </c>
      <c r="CD49" s="417">
        <v>55341</v>
      </c>
      <c r="CE49" s="417">
        <v>48959</v>
      </c>
      <c r="CF49" s="417">
        <v>104300</v>
      </c>
      <c r="CG49" s="418">
        <v>0.60860432635734785</v>
      </c>
      <c r="CH49" s="418">
        <v>0.69106230415266912</v>
      </c>
      <c r="CI49" s="418">
        <v>0.64471463805114448</v>
      </c>
      <c r="CJ49" s="417">
        <v>19921</v>
      </c>
      <c r="CK49" s="417">
        <v>24187</v>
      </c>
      <c r="CL49" s="417">
        <v>44108</v>
      </c>
      <c r="CM49" s="417">
        <v>19598</v>
      </c>
      <c r="CN49" s="417">
        <v>23807</v>
      </c>
      <c r="CO49" s="417">
        <v>43405</v>
      </c>
      <c r="CP49" s="417">
        <v>18606</v>
      </c>
      <c r="CQ49" s="417">
        <v>22994</v>
      </c>
      <c r="CR49" s="417">
        <v>41600</v>
      </c>
      <c r="CS49" s="418">
        <v>0.9493825900602102</v>
      </c>
      <c r="CT49" s="418">
        <v>0.9658503801402949</v>
      </c>
      <c r="CU49" s="418">
        <v>0.9584149291556272</v>
      </c>
      <c r="CV49" s="417">
        <v>18606</v>
      </c>
      <c r="CW49" s="417">
        <v>22994</v>
      </c>
      <c r="CX49" s="417">
        <v>41600</v>
      </c>
      <c r="CY49" s="417">
        <v>15117</v>
      </c>
      <c r="CZ49" s="417">
        <v>20502</v>
      </c>
      <c r="DA49" s="417">
        <v>35619</v>
      </c>
      <c r="DB49" s="418">
        <v>0.81247984521122218</v>
      </c>
      <c r="DC49" s="418">
        <v>0.89162390188744889</v>
      </c>
      <c r="DD49" s="418">
        <v>0.85622596153846153</v>
      </c>
    </row>
    <row r="50" spans="1:108" x14ac:dyDescent="0.25">
      <c r="A50" s="122"/>
      <c r="B50" s="383"/>
      <c r="C50" s="383"/>
      <c r="D50" s="494" t="s">
        <v>278</v>
      </c>
      <c r="E50" s="494"/>
      <c r="F50" s="494"/>
      <c r="G50" s="494"/>
      <c r="H50" s="494"/>
      <c r="I50" s="494"/>
      <c r="J50" s="494"/>
      <c r="K50" s="494"/>
      <c r="L50" s="494"/>
      <c r="M50" s="494"/>
      <c r="N50" s="494"/>
      <c r="O50" s="494"/>
      <c r="P50" s="494" t="s">
        <v>278</v>
      </c>
      <c r="Q50" s="494"/>
      <c r="R50" s="494"/>
      <c r="S50" s="494"/>
      <c r="T50" s="494"/>
      <c r="U50" s="494"/>
      <c r="V50" s="494"/>
      <c r="W50" s="494"/>
      <c r="X50" s="494"/>
      <c r="Y50" s="494" t="s">
        <v>278</v>
      </c>
      <c r="Z50" s="494"/>
      <c r="AA50" s="494"/>
      <c r="AB50" s="494"/>
      <c r="AC50" s="494"/>
      <c r="AD50" s="494"/>
      <c r="AE50" s="494"/>
      <c r="AF50" s="494"/>
      <c r="AG50" s="494"/>
      <c r="AH50" s="494"/>
      <c r="AI50" s="494"/>
      <c r="AJ50" s="494"/>
      <c r="AK50" s="494" t="s">
        <v>278</v>
      </c>
      <c r="AL50" s="494"/>
      <c r="AM50" s="494"/>
      <c r="AN50" s="494"/>
      <c r="AO50" s="494"/>
      <c r="AP50" s="494"/>
      <c r="AQ50" s="494"/>
      <c r="AR50" s="494"/>
      <c r="AS50" s="494"/>
      <c r="AT50" s="494" t="s">
        <v>278</v>
      </c>
      <c r="AU50" s="494"/>
      <c r="AV50" s="494"/>
      <c r="AW50" s="494"/>
      <c r="AX50" s="494"/>
      <c r="AY50" s="494"/>
      <c r="AZ50" s="494"/>
      <c r="BA50" s="494"/>
      <c r="BB50" s="494"/>
      <c r="BC50" s="494"/>
      <c r="BD50" s="494"/>
      <c r="BE50" s="494"/>
      <c r="BF50" s="494" t="s">
        <v>278</v>
      </c>
      <c r="BG50" s="494"/>
      <c r="BH50" s="494"/>
      <c r="BI50" s="494"/>
      <c r="BJ50" s="494"/>
      <c r="BK50" s="494"/>
      <c r="BL50" s="494"/>
      <c r="BM50" s="494"/>
      <c r="BN50" s="494"/>
      <c r="BO50" s="494" t="s">
        <v>278</v>
      </c>
      <c r="BP50" s="494"/>
      <c r="BQ50" s="494"/>
      <c r="BR50" s="494"/>
      <c r="BS50" s="494"/>
      <c r="BT50" s="494"/>
      <c r="BU50" s="494"/>
      <c r="BV50" s="494"/>
      <c r="BW50" s="494"/>
      <c r="BX50" s="494"/>
      <c r="BY50" s="494"/>
      <c r="BZ50" s="494"/>
      <c r="CA50" s="494" t="s">
        <v>278</v>
      </c>
      <c r="CB50" s="494"/>
      <c r="CC50" s="494"/>
      <c r="CD50" s="494"/>
      <c r="CE50" s="494"/>
      <c r="CF50" s="494"/>
      <c r="CG50" s="494"/>
      <c r="CH50" s="494"/>
      <c r="CI50" s="494"/>
      <c r="CJ50" s="494" t="s">
        <v>278</v>
      </c>
      <c r="CK50" s="494"/>
      <c r="CL50" s="494"/>
      <c r="CM50" s="494"/>
      <c r="CN50" s="494"/>
      <c r="CO50" s="494"/>
      <c r="CP50" s="494"/>
      <c r="CQ50" s="494"/>
      <c r="CR50" s="494"/>
      <c r="CS50" s="494"/>
      <c r="CT50" s="494"/>
      <c r="CU50" s="494"/>
      <c r="CV50" s="494" t="s">
        <v>278</v>
      </c>
      <c r="CW50" s="494"/>
      <c r="CX50" s="494"/>
      <c r="CY50" s="494"/>
      <c r="CZ50" s="494"/>
      <c r="DA50" s="494"/>
      <c r="DB50" s="494"/>
      <c r="DC50" s="494"/>
      <c r="DD50" s="494"/>
    </row>
    <row r="51" spans="1:108" x14ac:dyDescent="0.25">
      <c r="A51" s="122"/>
      <c r="B51" s="122"/>
      <c r="C51" s="122"/>
      <c r="D51" s="495" t="s">
        <v>248</v>
      </c>
      <c r="E51" s="495"/>
      <c r="F51" s="495"/>
      <c r="G51" s="495"/>
      <c r="H51" s="495"/>
      <c r="I51" s="495"/>
      <c r="J51" s="495"/>
      <c r="K51" s="495"/>
      <c r="L51" s="495"/>
      <c r="M51" s="495"/>
      <c r="N51" s="495"/>
      <c r="O51" s="495"/>
      <c r="P51" s="495" t="s">
        <v>248</v>
      </c>
      <c r="Q51" s="495"/>
      <c r="R51" s="495"/>
      <c r="S51" s="495"/>
      <c r="T51" s="495"/>
      <c r="U51" s="495"/>
      <c r="V51" s="495"/>
      <c r="W51" s="495"/>
      <c r="X51" s="495"/>
      <c r="Y51" s="495" t="s">
        <v>248</v>
      </c>
      <c r="Z51" s="495"/>
      <c r="AA51" s="495"/>
      <c r="AB51" s="495"/>
      <c r="AC51" s="495"/>
      <c r="AD51" s="495"/>
      <c r="AE51" s="495"/>
      <c r="AF51" s="495"/>
      <c r="AG51" s="495"/>
      <c r="AH51" s="495"/>
      <c r="AI51" s="495"/>
      <c r="AJ51" s="495"/>
      <c r="AK51" s="495" t="s">
        <v>248</v>
      </c>
      <c r="AL51" s="495"/>
      <c r="AM51" s="495"/>
      <c r="AN51" s="495"/>
      <c r="AO51" s="495"/>
      <c r="AP51" s="495"/>
      <c r="AQ51" s="495"/>
      <c r="AR51" s="495"/>
      <c r="AS51" s="495"/>
      <c r="AT51" s="495" t="s">
        <v>248</v>
      </c>
      <c r="AU51" s="495"/>
      <c r="AV51" s="495"/>
      <c r="AW51" s="495"/>
      <c r="AX51" s="495"/>
      <c r="AY51" s="495"/>
      <c r="AZ51" s="495"/>
      <c r="BA51" s="495"/>
      <c r="BB51" s="495"/>
      <c r="BC51" s="495"/>
      <c r="BD51" s="495"/>
      <c r="BE51" s="495"/>
      <c r="BF51" s="495" t="s">
        <v>248</v>
      </c>
      <c r="BG51" s="495"/>
      <c r="BH51" s="495"/>
      <c r="BI51" s="495"/>
      <c r="BJ51" s="495"/>
      <c r="BK51" s="495"/>
      <c r="BL51" s="495"/>
      <c r="BM51" s="495"/>
      <c r="BN51" s="495"/>
      <c r="BO51" s="495" t="s">
        <v>248</v>
      </c>
      <c r="BP51" s="495"/>
      <c r="BQ51" s="495"/>
      <c r="BR51" s="495"/>
      <c r="BS51" s="495"/>
      <c r="BT51" s="495"/>
      <c r="BU51" s="495"/>
      <c r="BV51" s="495"/>
      <c r="BW51" s="495"/>
      <c r="BX51" s="495"/>
      <c r="BY51" s="495"/>
      <c r="BZ51" s="495"/>
      <c r="CA51" s="495" t="s">
        <v>248</v>
      </c>
      <c r="CB51" s="495"/>
      <c r="CC51" s="495"/>
      <c r="CD51" s="495"/>
      <c r="CE51" s="495"/>
      <c r="CF51" s="495"/>
      <c r="CG51" s="495"/>
      <c r="CH51" s="495"/>
      <c r="CI51" s="495"/>
      <c r="CJ51" s="495" t="s">
        <v>248</v>
      </c>
      <c r="CK51" s="495"/>
      <c r="CL51" s="495"/>
      <c r="CM51" s="495"/>
      <c r="CN51" s="495"/>
      <c r="CO51" s="495"/>
      <c r="CP51" s="495"/>
      <c r="CQ51" s="495"/>
      <c r="CR51" s="495"/>
      <c r="CS51" s="495"/>
      <c r="CT51" s="495"/>
      <c r="CU51" s="495"/>
      <c r="CV51" s="495" t="s">
        <v>248</v>
      </c>
      <c r="CW51" s="495"/>
      <c r="CX51" s="495"/>
      <c r="CY51" s="495"/>
      <c r="CZ51" s="495"/>
      <c r="DA51" s="495"/>
      <c r="DB51" s="495"/>
      <c r="DC51" s="495"/>
      <c r="DD51" s="495"/>
    </row>
    <row r="52" spans="1:108" x14ac:dyDescent="0.25">
      <c r="A52" s="122"/>
      <c r="B52" s="122"/>
      <c r="C52" s="122"/>
      <c r="D52" s="495" t="s">
        <v>228</v>
      </c>
      <c r="E52" s="495"/>
      <c r="F52" s="495"/>
      <c r="G52" s="495"/>
      <c r="H52" s="495"/>
      <c r="I52" s="495"/>
      <c r="J52" s="495"/>
      <c r="K52" s="495"/>
      <c r="L52" s="495"/>
      <c r="M52" s="495"/>
      <c r="N52" s="495"/>
      <c r="O52" s="495"/>
      <c r="P52" s="495" t="s">
        <v>228</v>
      </c>
      <c r="Q52" s="495"/>
      <c r="R52" s="495"/>
      <c r="S52" s="495"/>
      <c r="T52" s="495"/>
      <c r="U52" s="495"/>
      <c r="V52" s="495"/>
      <c r="W52" s="495"/>
      <c r="X52" s="495"/>
      <c r="Y52" s="495" t="s">
        <v>228</v>
      </c>
      <c r="Z52" s="495"/>
      <c r="AA52" s="495"/>
      <c r="AB52" s="495"/>
      <c r="AC52" s="495"/>
      <c r="AD52" s="495"/>
      <c r="AE52" s="495"/>
      <c r="AF52" s="495"/>
      <c r="AG52" s="495"/>
      <c r="AH52" s="495"/>
      <c r="AI52" s="495"/>
      <c r="AJ52" s="495"/>
      <c r="AK52" s="495" t="s">
        <v>228</v>
      </c>
      <c r="AL52" s="495"/>
      <c r="AM52" s="495"/>
      <c r="AN52" s="495"/>
      <c r="AO52" s="495"/>
      <c r="AP52" s="495"/>
      <c r="AQ52" s="495"/>
      <c r="AR52" s="495"/>
      <c r="AS52" s="495"/>
      <c r="AT52" s="495" t="s">
        <v>228</v>
      </c>
      <c r="AU52" s="495"/>
      <c r="AV52" s="495"/>
      <c r="AW52" s="495"/>
      <c r="AX52" s="495"/>
      <c r="AY52" s="495"/>
      <c r="AZ52" s="495"/>
      <c r="BA52" s="495"/>
      <c r="BB52" s="495"/>
      <c r="BC52" s="495"/>
      <c r="BD52" s="495"/>
      <c r="BE52" s="495"/>
      <c r="BF52" s="495" t="s">
        <v>228</v>
      </c>
      <c r="BG52" s="495"/>
      <c r="BH52" s="495"/>
      <c r="BI52" s="495"/>
      <c r="BJ52" s="495"/>
      <c r="BK52" s="495"/>
      <c r="BL52" s="495"/>
      <c r="BM52" s="495"/>
      <c r="BN52" s="495"/>
      <c r="BO52" s="495" t="s">
        <v>228</v>
      </c>
      <c r="BP52" s="495"/>
      <c r="BQ52" s="495"/>
      <c r="BR52" s="495"/>
      <c r="BS52" s="495"/>
      <c r="BT52" s="495"/>
      <c r="BU52" s="495"/>
      <c r="BV52" s="495"/>
      <c r="BW52" s="495"/>
      <c r="BX52" s="495"/>
      <c r="BY52" s="495"/>
      <c r="BZ52" s="495"/>
      <c r="CA52" s="495" t="s">
        <v>228</v>
      </c>
      <c r="CB52" s="495"/>
      <c r="CC52" s="495"/>
      <c r="CD52" s="495"/>
      <c r="CE52" s="495"/>
      <c r="CF52" s="495"/>
      <c r="CG52" s="495"/>
      <c r="CH52" s="495"/>
      <c r="CI52" s="495"/>
      <c r="CJ52" s="495" t="s">
        <v>228</v>
      </c>
      <c r="CK52" s="495"/>
      <c r="CL52" s="495"/>
      <c r="CM52" s="495"/>
      <c r="CN52" s="495"/>
      <c r="CO52" s="495"/>
      <c r="CP52" s="495"/>
      <c r="CQ52" s="495"/>
      <c r="CR52" s="495"/>
      <c r="CS52" s="495"/>
      <c r="CT52" s="495"/>
      <c r="CU52" s="495"/>
      <c r="CV52" s="495" t="s">
        <v>228</v>
      </c>
      <c r="CW52" s="495"/>
      <c r="CX52" s="495"/>
      <c r="CY52" s="495"/>
      <c r="CZ52" s="495"/>
      <c r="DA52" s="495"/>
      <c r="DB52" s="495"/>
      <c r="DC52" s="495"/>
      <c r="DD52" s="495"/>
    </row>
    <row r="53" spans="1:108" x14ac:dyDescent="0.25">
      <c r="A53" s="122"/>
      <c r="B53" s="122"/>
      <c r="C53" s="122"/>
      <c r="M53" s="144"/>
      <c r="N53" s="144"/>
      <c r="O53" s="144"/>
      <c r="P53" s="144"/>
      <c r="Q53" s="144"/>
      <c r="R53" s="144"/>
      <c r="V53" s="144"/>
      <c r="W53" s="144"/>
      <c r="X53" s="144"/>
      <c r="AH53" s="144"/>
      <c r="AI53" s="144"/>
      <c r="AJ53" s="144"/>
      <c r="AK53" s="144"/>
      <c r="AL53" s="144"/>
      <c r="AM53" s="144"/>
      <c r="AQ53" s="144"/>
      <c r="AR53" s="144"/>
      <c r="AS53" s="144"/>
      <c r="BC53" s="144"/>
      <c r="BD53" s="144"/>
      <c r="BE53" s="144"/>
      <c r="BF53" s="144"/>
      <c r="BG53" s="144"/>
      <c r="BH53" s="144"/>
      <c r="BL53" s="144"/>
      <c r="BM53" s="144"/>
      <c r="BN53" s="144"/>
      <c r="BX53" s="144"/>
      <c r="BY53" s="144"/>
      <c r="BZ53" s="144"/>
      <c r="CA53" s="144"/>
      <c r="CB53" s="144"/>
      <c r="CC53" s="144"/>
      <c r="CG53" s="144"/>
      <c r="CH53" s="144"/>
      <c r="CI53" s="144"/>
      <c r="CS53" s="144"/>
      <c r="CT53" s="144"/>
      <c r="CU53" s="144"/>
      <c r="CV53" s="144"/>
      <c r="CW53" s="144"/>
      <c r="CX53" s="144"/>
      <c r="DB53" s="144"/>
      <c r="DC53" s="144"/>
      <c r="DD53" s="144"/>
    </row>
    <row r="54" spans="1:108" x14ac:dyDescent="0.25">
      <c r="B54" s="122"/>
      <c r="C54" s="122"/>
      <c r="M54" s="144"/>
      <c r="N54" s="144"/>
      <c r="O54" s="144"/>
      <c r="P54" s="144"/>
      <c r="Q54" s="144"/>
      <c r="R54" s="144"/>
      <c r="V54" s="144"/>
      <c r="W54" s="144"/>
      <c r="X54" s="144"/>
      <c r="AH54" s="144"/>
      <c r="AI54" s="144"/>
      <c r="AJ54" s="144"/>
      <c r="AK54" s="144"/>
      <c r="AL54" s="144"/>
      <c r="AM54" s="144"/>
      <c r="AQ54" s="144"/>
      <c r="AR54" s="144"/>
      <c r="AS54" s="144"/>
      <c r="BC54" s="144"/>
      <c r="BD54" s="144"/>
      <c r="BE54" s="144"/>
      <c r="BF54" s="144"/>
      <c r="BG54" s="144"/>
      <c r="BH54" s="144"/>
      <c r="BL54" s="144"/>
      <c r="BM54" s="144"/>
      <c r="BN54" s="144"/>
      <c r="BX54" s="144"/>
      <c r="BY54" s="144"/>
      <c r="BZ54" s="144"/>
      <c r="CA54" s="144"/>
      <c r="CB54" s="144"/>
      <c r="CC54" s="144"/>
      <c r="CG54" s="144"/>
      <c r="CH54" s="144"/>
      <c r="CI54" s="144"/>
      <c r="CS54" s="144"/>
      <c r="CT54" s="144"/>
      <c r="CU54" s="144"/>
      <c r="CV54" s="144"/>
      <c r="CW54" s="144"/>
      <c r="CX54" s="144"/>
      <c r="DB54" s="144"/>
      <c r="DC54" s="144"/>
      <c r="DD54" s="144"/>
    </row>
    <row r="55" spans="1:108" x14ac:dyDescent="0.25">
      <c r="B55" s="122"/>
      <c r="C55" s="122"/>
      <c r="M55" s="144"/>
      <c r="N55" s="144"/>
      <c r="O55" s="144"/>
      <c r="P55" s="144"/>
      <c r="Q55" s="144"/>
      <c r="R55" s="144"/>
      <c r="V55" s="144"/>
      <c r="W55" s="144"/>
      <c r="X55" s="144"/>
      <c r="AH55" s="144"/>
      <c r="AI55" s="144"/>
      <c r="AJ55" s="144"/>
      <c r="AK55" s="144"/>
      <c r="AL55" s="144"/>
      <c r="AM55" s="144"/>
      <c r="AQ55" s="144"/>
      <c r="AR55" s="144"/>
      <c r="AS55" s="144"/>
      <c r="BC55" s="144"/>
      <c r="BD55" s="144"/>
      <c r="BE55" s="144"/>
      <c r="BF55" s="144"/>
      <c r="BG55" s="144"/>
      <c r="BH55" s="144"/>
      <c r="BL55" s="144"/>
      <c r="BM55" s="144"/>
      <c r="BN55" s="144"/>
      <c r="BX55" s="144"/>
      <c r="BY55" s="144"/>
      <c r="BZ55" s="144"/>
      <c r="CA55" s="144"/>
      <c r="CB55" s="144"/>
      <c r="CC55" s="144"/>
      <c r="CG55" s="144"/>
      <c r="CH55" s="144"/>
      <c r="CI55" s="144"/>
      <c r="CS55" s="144"/>
      <c r="CT55" s="144"/>
      <c r="CU55" s="144"/>
      <c r="CV55" s="144"/>
      <c r="CW55" s="144"/>
      <c r="CX55" s="144"/>
      <c r="DB55" s="144"/>
      <c r="DC55" s="144"/>
      <c r="DD55" s="144"/>
    </row>
    <row r="56" spans="1:108" x14ac:dyDescent="0.25">
      <c r="B56" s="122"/>
      <c r="C56" s="122"/>
      <c r="M56" s="144"/>
      <c r="N56" s="144"/>
      <c r="O56" s="144"/>
      <c r="P56" s="144"/>
      <c r="Q56" s="144"/>
      <c r="R56" s="144"/>
      <c r="V56" s="144"/>
      <c r="W56" s="144"/>
      <c r="X56" s="144"/>
      <c r="AH56" s="144"/>
      <c r="AI56" s="144"/>
      <c r="AJ56" s="144"/>
      <c r="AK56" s="144"/>
      <c r="AL56" s="144"/>
      <c r="AM56" s="144"/>
      <c r="AQ56" s="144"/>
      <c r="AR56" s="144"/>
      <c r="AS56" s="144"/>
      <c r="BC56" s="144"/>
      <c r="BD56" s="144"/>
      <c r="BE56" s="144"/>
      <c r="BF56" s="144"/>
      <c r="BG56" s="144"/>
      <c r="BH56" s="144"/>
      <c r="BL56" s="144"/>
      <c r="BM56" s="144"/>
      <c r="BN56" s="144"/>
      <c r="BX56" s="144"/>
      <c r="BY56" s="144"/>
      <c r="BZ56" s="144"/>
      <c r="CA56" s="144"/>
      <c r="CB56" s="144"/>
      <c r="CC56" s="144"/>
      <c r="CG56" s="144"/>
      <c r="CH56" s="144"/>
      <c r="CI56" s="144"/>
      <c r="CS56" s="144"/>
      <c r="CT56" s="144"/>
      <c r="CU56" s="144"/>
      <c r="CV56" s="144"/>
      <c r="CW56" s="144"/>
      <c r="CX56" s="144"/>
      <c r="DB56" s="144"/>
      <c r="DC56" s="144"/>
      <c r="DD56" s="144"/>
    </row>
    <row r="57" spans="1:108" x14ac:dyDescent="0.25">
      <c r="B57" s="122"/>
      <c r="C57" s="122"/>
      <c r="M57" s="144"/>
      <c r="N57" s="144"/>
      <c r="O57" s="144"/>
      <c r="P57" s="144"/>
      <c r="Q57" s="144"/>
      <c r="R57" s="144"/>
      <c r="V57" s="144"/>
      <c r="W57" s="144"/>
      <c r="X57" s="144"/>
      <c r="AH57" s="144"/>
      <c r="AI57" s="144"/>
      <c r="AJ57" s="144"/>
      <c r="AK57" s="144"/>
      <c r="AL57" s="144"/>
      <c r="AM57" s="144"/>
      <c r="AQ57" s="144"/>
      <c r="AR57" s="144"/>
      <c r="AS57" s="144"/>
      <c r="BC57" s="144"/>
      <c r="BD57" s="144"/>
      <c r="BE57" s="144"/>
      <c r="BF57" s="144"/>
      <c r="BG57" s="144"/>
      <c r="BH57" s="144"/>
      <c r="BL57" s="144"/>
      <c r="BM57" s="144"/>
      <c r="BN57" s="144"/>
      <c r="BX57" s="144"/>
      <c r="BY57" s="144"/>
      <c r="BZ57" s="144"/>
      <c r="CA57" s="144"/>
      <c r="CB57" s="144"/>
      <c r="CC57" s="144"/>
      <c r="CG57" s="144"/>
      <c r="CH57" s="144"/>
      <c r="CI57" s="144"/>
      <c r="CS57" s="144"/>
      <c r="CT57" s="144"/>
      <c r="CU57" s="144"/>
      <c r="CV57" s="144"/>
      <c r="CW57" s="144"/>
      <c r="CX57" s="144"/>
      <c r="DB57" s="144"/>
      <c r="DC57" s="144"/>
      <c r="DD57" s="144"/>
    </row>
    <row r="58" spans="1:108" x14ac:dyDescent="0.25">
      <c r="B58" s="122"/>
      <c r="C58" s="122"/>
      <c r="M58" s="144"/>
      <c r="N58" s="144"/>
      <c r="O58" s="144"/>
      <c r="P58" s="144"/>
      <c r="Q58" s="144"/>
      <c r="R58" s="144"/>
      <c r="V58" s="144"/>
      <c r="W58" s="144"/>
      <c r="X58" s="144"/>
      <c r="AH58" s="144"/>
      <c r="AI58" s="144"/>
      <c r="AJ58" s="144"/>
      <c r="AK58" s="144"/>
      <c r="AL58" s="144"/>
      <c r="AM58" s="144"/>
      <c r="AQ58" s="144"/>
      <c r="AR58" s="144"/>
      <c r="AS58" s="144"/>
      <c r="BC58" s="144"/>
      <c r="BD58" s="144"/>
      <c r="BE58" s="144"/>
      <c r="BF58" s="144"/>
      <c r="BG58" s="144"/>
      <c r="BH58" s="144"/>
      <c r="BL58" s="144"/>
      <c r="BM58" s="144"/>
      <c r="BN58" s="144"/>
      <c r="BX58" s="144"/>
      <c r="BY58" s="144"/>
      <c r="BZ58" s="144"/>
      <c r="CA58" s="144"/>
      <c r="CB58" s="144"/>
      <c r="CC58" s="144"/>
      <c r="CG58" s="144"/>
      <c r="CH58" s="144"/>
      <c r="CI58" s="144"/>
      <c r="CS58" s="144"/>
      <c r="CT58" s="144"/>
      <c r="CU58" s="144"/>
      <c r="CV58" s="144"/>
      <c r="CW58" s="144"/>
      <c r="CX58" s="144"/>
      <c r="DB58" s="144"/>
      <c r="DC58" s="144"/>
      <c r="DD58" s="144"/>
    </row>
    <row r="59" spans="1:108" x14ac:dyDescent="0.25">
      <c r="B59" s="122"/>
      <c r="C59" s="122"/>
      <c r="M59" s="144"/>
      <c r="N59" s="144"/>
      <c r="O59" s="144"/>
      <c r="P59" s="144"/>
      <c r="Q59" s="144"/>
      <c r="R59" s="144"/>
      <c r="V59" s="144"/>
      <c r="W59" s="144"/>
      <c r="X59" s="144"/>
      <c r="AH59" s="144"/>
      <c r="AI59" s="144"/>
      <c r="AJ59" s="144"/>
      <c r="AK59" s="144"/>
      <c r="AL59" s="144"/>
      <c r="AM59" s="144"/>
      <c r="AQ59" s="144"/>
      <c r="AR59" s="144"/>
      <c r="AS59" s="144"/>
      <c r="BC59" s="144"/>
      <c r="BD59" s="144"/>
      <c r="BE59" s="144"/>
      <c r="BF59" s="144"/>
      <c r="BG59" s="144"/>
      <c r="BH59" s="144"/>
      <c r="BL59" s="144"/>
      <c r="BM59" s="144"/>
      <c r="BN59" s="144"/>
      <c r="BX59" s="144"/>
      <c r="BY59" s="144"/>
      <c r="BZ59" s="144"/>
      <c r="CA59" s="144"/>
      <c r="CB59" s="144"/>
      <c r="CC59" s="144"/>
      <c r="CG59" s="144"/>
      <c r="CH59" s="144"/>
      <c r="CI59" s="144"/>
      <c r="CS59" s="144"/>
      <c r="CT59" s="144"/>
      <c r="CU59" s="144"/>
      <c r="CV59" s="144"/>
      <c r="CW59" s="144"/>
      <c r="CX59" s="144"/>
      <c r="DB59" s="144"/>
      <c r="DC59" s="144"/>
      <c r="DD59" s="144"/>
    </row>
    <row r="60" spans="1:108" x14ac:dyDescent="0.25">
      <c r="B60" s="122"/>
      <c r="C60" s="122"/>
      <c r="M60" s="144"/>
      <c r="N60" s="144"/>
      <c r="O60" s="144"/>
      <c r="P60" s="144"/>
      <c r="Q60" s="144"/>
      <c r="R60" s="144"/>
      <c r="V60" s="144"/>
      <c r="W60" s="144"/>
      <c r="X60" s="144"/>
      <c r="AH60" s="144"/>
      <c r="AI60" s="144"/>
      <c r="AJ60" s="144"/>
      <c r="AK60" s="144"/>
      <c r="AL60" s="144"/>
      <c r="AM60" s="144"/>
      <c r="AQ60" s="144"/>
      <c r="AR60" s="144"/>
      <c r="AS60" s="144"/>
      <c r="BC60" s="144"/>
      <c r="BD60" s="144"/>
      <c r="BE60" s="144"/>
      <c r="BF60" s="144"/>
      <c r="BG60" s="144"/>
      <c r="BH60" s="144"/>
      <c r="BL60" s="144"/>
      <c r="BM60" s="144"/>
      <c r="BN60" s="144"/>
      <c r="BX60" s="144"/>
      <c r="BY60" s="144"/>
      <c r="BZ60" s="144"/>
      <c r="CA60" s="144"/>
      <c r="CB60" s="144"/>
      <c r="CC60" s="144"/>
      <c r="CG60" s="144"/>
      <c r="CH60" s="144"/>
      <c r="CI60" s="144"/>
      <c r="CS60" s="144"/>
      <c r="CT60" s="144"/>
      <c r="CU60" s="144"/>
      <c r="CV60" s="144"/>
      <c r="CW60" s="144"/>
      <c r="CX60" s="144"/>
      <c r="DB60" s="144"/>
      <c r="DC60" s="144"/>
      <c r="DD60" s="144"/>
    </row>
    <row r="61" spans="1:108" x14ac:dyDescent="0.25">
      <c r="B61" s="122"/>
      <c r="C61" s="122"/>
      <c r="M61" s="144"/>
      <c r="N61" s="144"/>
      <c r="O61" s="144"/>
      <c r="P61" s="144"/>
      <c r="Q61" s="144"/>
      <c r="R61" s="144"/>
      <c r="V61" s="144"/>
      <c r="W61" s="144"/>
      <c r="X61" s="144"/>
      <c r="AH61" s="144"/>
      <c r="AI61" s="144"/>
      <c r="AJ61" s="144"/>
      <c r="AK61" s="144"/>
      <c r="AL61" s="144"/>
      <c r="AM61" s="144"/>
      <c r="AQ61" s="144"/>
      <c r="AR61" s="144"/>
      <c r="AS61" s="144"/>
      <c r="BC61" s="144"/>
      <c r="BD61" s="144"/>
      <c r="BE61" s="144"/>
      <c r="BF61" s="144"/>
      <c r="BG61" s="144"/>
      <c r="BH61" s="144"/>
      <c r="BL61" s="144"/>
      <c r="BM61" s="144"/>
      <c r="BN61" s="144"/>
      <c r="BX61" s="144"/>
      <c r="BY61" s="144"/>
      <c r="BZ61" s="144"/>
      <c r="CA61" s="144"/>
      <c r="CB61" s="144"/>
      <c r="CC61" s="144"/>
      <c r="CG61" s="144"/>
      <c r="CH61" s="144"/>
      <c r="CI61" s="144"/>
      <c r="CS61" s="144"/>
      <c r="CT61" s="144"/>
      <c r="CU61" s="144"/>
      <c r="CV61" s="144"/>
      <c r="CW61" s="144"/>
      <c r="CX61" s="144"/>
      <c r="DB61" s="144"/>
      <c r="DC61" s="144"/>
      <c r="DD61" s="144"/>
    </row>
    <row r="62" spans="1:108" x14ac:dyDescent="0.25">
      <c r="B62" s="122"/>
      <c r="C62" s="122"/>
      <c r="M62" s="144"/>
      <c r="N62" s="144"/>
      <c r="O62" s="144"/>
      <c r="P62" s="144"/>
      <c r="Q62" s="144"/>
      <c r="R62" s="144"/>
      <c r="V62" s="144"/>
      <c r="W62" s="144"/>
      <c r="X62" s="144"/>
      <c r="AH62" s="144"/>
      <c r="AI62" s="144"/>
      <c r="AJ62" s="144"/>
      <c r="AK62" s="144"/>
      <c r="AL62" s="144"/>
      <c r="AM62" s="144"/>
      <c r="AQ62" s="144"/>
      <c r="AR62" s="144"/>
      <c r="AS62" s="144"/>
      <c r="BC62" s="144"/>
      <c r="BD62" s="144"/>
      <c r="BE62" s="144"/>
      <c r="BF62" s="144"/>
      <c r="BG62" s="144"/>
      <c r="BH62" s="144"/>
      <c r="BL62" s="144"/>
      <c r="BM62" s="144"/>
      <c r="BN62" s="144"/>
      <c r="BX62" s="144"/>
      <c r="BY62" s="144"/>
      <c r="BZ62" s="144"/>
      <c r="CA62" s="144"/>
      <c r="CB62" s="144"/>
      <c r="CC62" s="144"/>
      <c r="CG62" s="144"/>
      <c r="CH62" s="144"/>
      <c r="CI62" s="144"/>
      <c r="CS62" s="144"/>
      <c r="CT62" s="144"/>
      <c r="CU62" s="144"/>
      <c r="CV62" s="144"/>
      <c r="CW62" s="144"/>
      <c r="CX62" s="144"/>
      <c r="DB62" s="144"/>
      <c r="DC62" s="144"/>
      <c r="DD62" s="144"/>
    </row>
    <row r="63" spans="1:108" x14ac:dyDescent="0.25">
      <c r="B63" s="122"/>
      <c r="C63" s="122"/>
      <c r="M63" s="144"/>
      <c r="N63" s="144"/>
      <c r="O63" s="144"/>
      <c r="P63" s="144"/>
      <c r="Q63" s="144"/>
      <c r="R63" s="144"/>
      <c r="V63" s="144"/>
      <c r="W63" s="144"/>
      <c r="X63" s="144"/>
      <c r="AH63" s="144"/>
      <c r="AI63" s="144"/>
      <c r="AJ63" s="144"/>
      <c r="AK63" s="144"/>
      <c r="AL63" s="144"/>
      <c r="AM63" s="144"/>
      <c r="AQ63" s="144"/>
      <c r="AR63" s="144"/>
      <c r="AS63" s="144"/>
      <c r="BC63" s="144"/>
      <c r="BD63" s="144"/>
      <c r="BE63" s="144"/>
      <c r="BF63" s="144"/>
      <c r="BG63" s="144"/>
      <c r="BH63" s="144"/>
      <c r="BL63" s="144"/>
      <c r="BM63" s="144"/>
      <c r="BN63" s="144"/>
      <c r="BX63" s="144"/>
      <c r="BY63" s="144"/>
      <c r="BZ63" s="144"/>
      <c r="CA63" s="144"/>
      <c r="CB63" s="144"/>
      <c r="CC63" s="144"/>
      <c r="CG63" s="144"/>
      <c r="CH63" s="144"/>
      <c r="CI63" s="144"/>
      <c r="CS63" s="144"/>
      <c r="CT63" s="144"/>
      <c r="CU63" s="144"/>
      <c r="CV63" s="144"/>
      <c r="CW63" s="144"/>
      <c r="CX63" s="144"/>
      <c r="DB63" s="144"/>
      <c r="DC63" s="144"/>
      <c r="DD63" s="144"/>
    </row>
    <row r="64" spans="1:108" x14ac:dyDescent="0.25">
      <c r="B64" s="122"/>
      <c r="C64" s="122"/>
      <c r="M64" s="144"/>
      <c r="N64" s="144"/>
      <c r="O64" s="144"/>
      <c r="P64" s="144"/>
      <c r="Q64" s="144"/>
      <c r="R64" s="144"/>
      <c r="V64" s="144"/>
      <c r="W64" s="144"/>
      <c r="X64" s="144"/>
      <c r="AH64" s="144"/>
      <c r="AI64" s="144"/>
      <c r="AJ64" s="144"/>
      <c r="AK64" s="144"/>
      <c r="AL64" s="144"/>
      <c r="AM64" s="144"/>
      <c r="AQ64" s="144"/>
      <c r="AR64" s="144"/>
      <c r="AS64" s="144"/>
      <c r="BC64" s="144"/>
      <c r="BD64" s="144"/>
      <c r="BE64" s="144"/>
      <c r="BF64" s="144"/>
      <c r="BG64" s="144"/>
      <c r="BH64" s="144"/>
      <c r="BL64" s="144"/>
      <c r="BM64" s="144"/>
      <c r="BN64" s="144"/>
      <c r="BX64" s="144"/>
      <c r="BY64" s="144"/>
      <c r="BZ64" s="144"/>
      <c r="CA64" s="144"/>
      <c r="CB64" s="144"/>
      <c r="CC64" s="144"/>
      <c r="CG64" s="144"/>
      <c r="CH64" s="144"/>
      <c r="CI64" s="144"/>
      <c r="CS64" s="144"/>
      <c r="CT64" s="144"/>
      <c r="CU64" s="144"/>
      <c r="CV64" s="144"/>
      <c r="CW64" s="144"/>
      <c r="CX64" s="144"/>
      <c r="DB64" s="144"/>
      <c r="DC64" s="144"/>
      <c r="DD64" s="144"/>
    </row>
    <row r="65" spans="2:108" x14ac:dyDescent="0.25">
      <c r="B65" s="122"/>
      <c r="C65" s="122"/>
      <c r="M65" s="144"/>
      <c r="N65" s="144"/>
      <c r="O65" s="144"/>
      <c r="P65" s="144"/>
      <c r="Q65" s="144"/>
      <c r="R65" s="144"/>
      <c r="V65" s="144"/>
      <c r="W65" s="144"/>
      <c r="X65" s="144"/>
      <c r="AH65" s="144"/>
      <c r="AI65" s="144"/>
      <c r="AJ65" s="144"/>
      <c r="AK65" s="144"/>
      <c r="AL65" s="144"/>
      <c r="AM65" s="144"/>
      <c r="AQ65" s="144"/>
      <c r="AR65" s="144"/>
      <c r="AS65" s="144"/>
      <c r="BC65" s="144"/>
      <c r="BD65" s="144"/>
      <c r="BE65" s="144"/>
      <c r="BF65" s="144"/>
      <c r="BG65" s="144"/>
      <c r="BH65" s="144"/>
      <c r="BL65" s="144"/>
      <c r="BM65" s="144"/>
      <c r="BN65" s="144"/>
      <c r="BX65" s="144"/>
      <c r="BY65" s="144"/>
      <c r="BZ65" s="144"/>
      <c r="CA65" s="144"/>
      <c r="CB65" s="144"/>
      <c r="CC65" s="144"/>
      <c r="CG65" s="144"/>
      <c r="CH65" s="144"/>
      <c r="CI65" s="144"/>
      <c r="CS65" s="144"/>
      <c r="CT65" s="144"/>
      <c r="CU65" s="144"/>
      <c r="CV65" s="144"/>
      <c r="CW65" s="144"/>
      <c r="CX65" s="144"/>
      <c r="DB65" s="144"/>
      <c r="DC65" s="144"/>
      <c r="DD65" s="144"/>
    </row>
    <row r="66" spans="2:108" x14ac:dyDescent="0.25">
      <c r="B66" s="122"/>
      <c r="C66" s="122"/>
      <c r="M66" s="144"/>
      <c r="N66" s="144"/>
      <c r="O66" s="144"/>
      <c r="P66" s="144"/>
      <c r="Q66" s="144"/>
      <c r="R66" s="144"/>
      <c r="V66" s="144"/>
      <c r="W66" s="144"/>
      <c r="X66" s="144"/>
      <c r="AH66" s="144"/>
      <c r="AI66" s="144"/>
      <c r="AJ66" s="144"/>
      <c r="AK66" s="144"/>
      <c r="AL66" s="144"/>
      <c r="AM66" s="144"/>
      <c r="AQ66" s="144"/>
      <c r="AR66" s="144"/>
      <c r="AS66" s="144"/>
      <c r="BC66" s="144"/>
      <c r="BD66" s="144"/>
      <c r="BE66" s="144"/>
      <c r="BF66" s="144"/>
      <c r="BG66" s="144"/>
      <c r="BH66" s="144"/>
      <c r="BL66" s="144"/>
      <c r="BM66" s="144"/>
      <c r="BN66" s="144"/>
      <c r="BX66" s="144"/>
      <c r="BY66" s="144"/>
      <c r="BZ66" s="144"/>
      <c r="CA66" s="144"/>
      <c r="CB66" s="144"/>
      <c r="CC66" s="144"/>
      <c r="CG66" s="144"/>
      <c r="CH66" s="144"/>
      <c r="CI66" s="144"/>
      <c r="CS66" s="144"/>
      <c r="CT66" s="144"/>
      <c r="CU66" s="144"/>
      <c r="CV66" s="144"/>
      <c r="CW66" s="144"/>
      <c r="CX66" s="144"/>
      <c r="DB66" s="144"/>
      <c r="DC66" s="144"/>
      <c r="DD66" s="144"/>
    </row>
    <row r="67" spans="2:108" x14ac:dyDescent="0.25">
      <c r="B67" s="122"/>
      <c r="C67" s="122"/>
      <c r="M67" s="144"/>
      <c r="N67" s="144"/>
      <c r="O67" s="144"/>
      <c r="P67" s="144"/>
      <c r="Q67" s="144"/>
      <c r="R67" s="144"/>
      <c r="V67" s="144"/>
      <c r="W67" s="144"/>
      <c r="X67" s="144"/>
      <c r="AH67" s="144"/>
      <c r="AI67" s="144"/>
      <c r="AJ67" s="144"/>
      <c r="AK67" s="144"/>
      <c r="AL67" s="144"/>
      <c r="AM67" s="144"/>
      <c r="AQ67" s="144"/>
      <c r="AR67" s="144"/>
      <c r="AS67" s="144"/>
      <c r="BC67" s="144"/>
      <c r="BD67" s="144"/>
      <c r="BE67" s="144"/>
      <c r="BF67" s="144"/>
      <c r="BG67" s="144"/>
      <c r="BH67" s="144"/>
      <c r="BL67" s="144"/>
      <c r="BM67" s="144"/>
      <c r="BN67" s="144"/>
      <c r="BX67" s="144"/>
      <c r="BY67" s="144"/>
      <c r="BZ67" s="144"/>
      <c r="CA67" s="144"/>
      <c r="CB67" s="144"/>
      <c r="CC67" s="144"/>
      <c r="CG67" s="144"/>
      <c r="CH67" s="144"/>
      <c r="CI67" s="144"/>
      <c r="CS67" s="144"/>
      <c r="CT67" s="144"/>
      <c r="CU67" s="144"/>
      <c r="CV67" s="144"/>
      <c r="CW67" s="144"/>
      <c r="CX67" s="144"/>
      <c r="DB67" s="144"/>
      <c r="DC67" s="144"/>
      <c r="DD67" s="144"/>
    </row>
    <row r="68" spans="2:108" x14ac:dyDescent="0.25">
      <c r="B68" s="122"/>
      <c r="C68" s="122"/>
      <c r="M68" s="144"/>
      <c r="N68" s="144"/>
      <c r="O68" s="144"/>
      <c r="P68" s="144"/>
      <c r="Q68" s="144"/>
      <c r="R68" s="144"/>
      <c r="V68" s="144"/>
      <c r="W68" s="144"/>
      <c r="X68" s="144"/>
      <c r="AH68" s="144"/>
      <c r="AI68" s="144"/>
      <c r="AJ68" s="144"/>
      <c r="AK68" s="144"/>
      <c r="AL68" s="144"/>
      <c r="AM68" s="144"/>
      <c r="AQ68" s="144"/>
      <c r="AR68" s="144"/>
      <c r="AS68" s="144"/>
      <c r="BC68" s="144"/>
      <c r="BD68" s="144"/>
      <c r="BE68" s="144"/>
      <c r="BF68" s="144"/>
      <c r="BG68" s="144"/>
      <c r="BH68" s="144"/>
      <c r="BL68" s="144"/>
      <c r="BM68" s="144"/>
      <c r="BN68" s="144"/>
      <c r="BX68" s="144"/>
      <c r="BY68" s="144"/>
      <c r="BZ68" s="144"/>
      <c r="CA68" s="144"/>
      <c r="CB68" s="144"/>
      <c r="CC68" s="144"/>
      <c r="CG68" s="144"/>
      <c r="CH68" s="144"/>
      <c r="CI68" s="144"/>
      <c r="CS68" s="144"/>
      <c r="CT68" s="144"/>
      <c r="CU68" s="144"/>
      <c r="CV68" s="144"/>
      <c r="CW68" s="144"/>
      <c r="CX68" s="144"/>
      <c r="DB68" s="144"/>
      <c r="DC68" s="144"/>
      <c r="DD68" s="144"/>
    </row>
    <row r="69" spans="2:108" x14ac:dyDescent="0.25">
      <c r="B69" s="122"/>
      <c r="C69" s="122"/>
      <c r="M69" s="144"/>
      <c r="N69" s="144"/>
      <c r="O69" s="144"/>
      <c r="P69" s="144"/>
      <c r="Q69" s="144"/>
      <c r="R69" s="144"/>
      <c r="V69" s="144"/>
      <c r="W69" s="144"/>
      <c r="X69" s="144"/>
      <c r="AH69" s="144"/>
      <c r="AI69" s="144"/>
      <c r="AJ69" s="144"/>
      <c r="AK69" s="144"/>
      <c r="AL69" s="144"/>
      <c r="AM69" s="144"/>
      <c r="AQ69" s="144"/>
      <c r="AR69" s="144"/>
      <c r="AS69" s="144"/>
      <c r="BC69" s="144"/>
      <c r="BD69" s="144"/>
      <c r="BE69" s="144"/>
      <c r="BF69" s="144"/>
      <c r="BG69" s="144"/>
      <c r="BH69" s="144"/>
      <c r="BL69" s="144"/>
      <c r="BM69" s="144"/>
      <c r="BN69" s="144"/>
      <c r="BX69" s="144"/>
      <c r="BY69" s="144"/>
      <c r="BZ69" s="144"/>
      <c r="CA69" s="144"/>
      <c r="CB69" s="144"/>
      <c r="CC69" s="144"/>
      <c r="CG69" s="144"/>
      <c r="CH69" s="144"/>
      <c r="CI69" s="144"/>
      <c r="CS69" s="144"/>
      <c r="CT69" s="144"/>
      <c r="CU69" s="144"/>
      <c r="CV69" s="144"/>
      <c r="CW69" s="144"/>
      <c r="CX69" s="144"/>
      <c r="DB69" s="144"/>
      <c r="DC69" s="144"/>
      <c r="DD69" s="144"/>
    </row>
    <row r="70" spans="2:108" x14ac:dyDescent="0.25">
      <c r="B70" s="122"/>
      <c r="C70" s="122"/>
      <c r="M70" s="144"/>
      <c r="N70" s="144"/>
      <c r="O70" s="144"/>
      <c r="P70" s="144"/>
      <c r="Q70" s="144"/>
      <c r="R70" s="144"/>
      <c r="V70" s="144"/>
      <c r="W70" s="144"/>
      <c r="X70" s="144"/>
      <c r="AH70" s="144"/>
      <c r="AI70" s="144"/>
      <c r="AJ70" s="144"/>
      <c r="AK70" s="144"/>
      <c r="AL70" s="144"/>
      <c r="AM70" s="144"/>
      <c r="AQ70" s="144"/>
      <c r="AR70" s="144"/>
      <c r="AS70" s="144"/>
      <c r="BC70" s="144"/>
      <c r="BD70" s="144"/>
      <c r="BE70" s="144"/>
      <c r="BF70" s="144"/>
      <c r="BG70" s="144"/>
      <c r="BH70" s="144"/>
      <c r="BL70" s="144"/>
      <c r="BM70" s="144"/>
      <c r="BN70" s="144"/>
      <c r="BX70" s="144"/>
      <c r="BY70" s="144"/>
      <c r="BZ70" s="144"/>
      <c r="CA70" s="144"/>
      <c r="CB70" s="144"/>
      <c r="CC70" s="144"/>
      <c r="CG70" s="144"/>
      <c r="CH70" s="144"/>
      <c r="CI70" s="144"/>
      <c r="CS70" s="144"/>
      <c r="CT70" s="144"/>
      <c r="CU70" s="144"/>
      <c r="CV70" s="144"/>
      <c r="CW70" s="144"/>
      <c r="CX70" s="144"/>
      <c r="DB70" s="144"/>
      <c r="DC70" s="144"/>
      <c r="DD70" s="144"/>
    </row>
    <row r="71" spans="2:108" x14ac:dyDescent="0.25">
      <c r="B71" s="122"/>
      <c r="C71" s="122"/>
      <c r="M71" s="144"/>
      <c r="N71" s="144"/>
      <c r="O71" s="144"/>
      <c r="P71" s="144"/>
      <c r="Q71" s="144"/>
      <c r="R71" s="144"/>
      <c r="V71" s="144"/>
      <c r="W71" s="144"/>
      <c r="X71" s="144"/>
      <c r="AH71" s="144"/>
      <c r="AI71" s="144"/>
      <c r="AJ71" s="144"/>
      <c r="AK71" s="144"/>
      <c r="AL71" s="144"/>
      <c r="AM71" s="144"/>
      <c r="AQ71" s="144"/>
      <c r="AR71" s="144"/>
      <c r="AS71" s="144"/>
      <c r="BC71" s="144"/>
      <c r="BD71" s="144"/>
      <c r="BE71" s="144"/>
      <c r="BF71" s="144"/>
      <c r="BG71" s="144"/>
      <c r="BH71" s="144"/>
      <c r="BL71" s="144"/>
      <c r="BM71" s="144"/>
      <c r="BN71" s="144"/>
      <c r="BX71" s="144"/>
      <c r="BY71" s="144"/>
      <c r="BZ71" s="144"/>
      <c r="CA71" s="144"/>
      <c r="CB71" s="144"/>
      <c r="CC71" s="144"/>
      <c r="CG71" s="144"/>
      <c r="CH71" s="144"/>
      <c r="CI71" s="144"/>
      <c r="CS71" s="144"/>
      <c r="CT71" s="144"/>
      <c r="CU71" s="144"/>
      <c r="CV71" s="144"/>
      <c r="CW71" s="144"/>
      <c r="CX71" s="144"/>
      <c r="DB71" s="144"/>
      <c r="DC71" s="144"/>
      <c r="DD71" s="144"/>
    </row>
    <row r="72" spans="2:108" x14ac:dyDescent="0.25">
      <c r="B72" s="122"/>
      <c r="C72" s="122"/>
      <c r="M72" s="144"/>
      <c r="N72" s="144"/>
      <c r="O72" s="144"/>
      <c r="P72" s="144"/>
      <c r="Q72" s="144"/>
      <c r="R72" s="144"/>
      <c r="V72" s="144"/>
      <c r="W72" s="144"/>
      <c r="X72" s="144"/>
      <c r="AH72" s="144"/>
      <c r="AI72" s="144"/>
      <c r="AJ72" s="144"/>
      <c r="AK72" s="144"/>
      <c r="AL72" s="144"/>
      <c r="AM72" s="144"/>
      <c r="AQ72" s="144"/>
      <c r="AR72" s="144"/>
      <c r="AS72" s="144"/>
      <c r="BC72" s="144"/>
      <c r="BD72" s="144"/>
      <c r="BE72" s="144"/>
      <c r="BF72" s="144"/>
      <c r="BG72" s="144"/>
      <c r="BH72" s="144"/>
      <c r="BL72" s="144"/>
      <c r="BM72" s="144"/>
      <c r="BN72" s="144"/>
      <c r="BX72" s="144"/>
      <c r="BY72" s="144"/>
      <c r="BZ72" s="144"/>
      <c r="CA72" s="144"/>
      <c r="CB72" s="144"/>
      <c r="CC72" s="144"/>
      <c r="CG72" s="144"/>
      <c r="CH72" s="144"/>
      <c r="CI72" s="144"/>
      <c r="CS72" s="144"/>
      <c r="CT72" s="144"/>
      <c r="CU72" s="144"/>
      <c r="CV72" s="144"/>
      <c r="CW72" s="144"/>
      <c r="CX72" s="144"/>
      <c r="DB72" s="144"/>
      <c r="DC72" s="144"/>
      <c r="DD72" s="144"/>
    </row>
    <row r="73" spans="2:108" x14ac:dyDescent="0.25">
      <c r="B73" s="122"/>
      <c r="C73" s="122"/>
      <c r="M73" s="144"/>
      <c r="N73" s="144"/>
      <c r="O73" s="144"/>
      <c r="P73" s="144"/>
      <c r="Q73" s="144"/>
      <c r="R73" s="144"/>
      <c r="V73" s="144"/>
      <c r="W73" s="144"/>
      <c r="X73" s="144"/>
      <c r="AH73" s="144"/>
      <c r="AI73" s="144"/>
      <c r="AJ73" s="144"/>
      <c r="AK73" s="144"/>
      <c r="AL73" s="144"/>
      <c r="AM73" s="144"/>
      <c r="AQ73" s="144"/>
      <c r="AR73" s="144"/>
      <c r="AS73" s="144"/>
      <c r="BC73" s="144"/>
      <c r="BD73" s="144"/>
      <c r="BE73" s="144"/>
      <c r="BF73" s="144"/>
      <c r="BG73" s="144"/>
      <c r="BH73" s="144"/>
      <c r="BL73" s="144"/>
      <c r="BM73" s="144"/>
      <c r="BN73" s="144"/>
      <c r="BX73" s="144"/>
      <c r="BY73" s="144"/>
      <c r="BZ73" s="144"/>
      <c r="CA73" s="144"/>
      <c r="CB73" s="144"/>
      <c r="CC73" s="144"/>
      <c r="CG73" s="144"/>
      <c r="CH73" s="144"/>
      <c r="CI73" s="144"/>
      <c r="CS73" s="144"/>
      <c r="CT73" s="144"/>
      <c r="CU73" s="144"/>
      <c r="CV73" s="144"/>
      <c r="CW73" s="144"/>
      <c r="CX73" s="144"/>
      <c r="DB73" s="144"/>
      <c r="DC73" s="144"/>
      <c r="DD73" s="144"/>
    </row>
    <row r="74" spans="2:108" x14ac:dyDescent="0.25">
      <c r="B74" s="122"/>
      <c r="C74" s="122"/>
      <c r="M74" s="144"/>
      <c r="N74" s="144"/>
      <c r="O74" s="144"/>
      <c r="P74" s="144"/>
      <c r="Q74" s="144"/>
      <c r="R74" s="144"/>
      <c r="V74" s="144"/>
      <c r="W74" s="144"/>
      <c r="X74" s="144"/>
      <c r="AH74" s="144"/>
      <c r="AI74" s="144"/>
      <c r="AJ74" s="144"/>
      <c r="AK74" s="144"/>
      <c r="AL74" s="144"/>
      <c r="AM74" s="144"/>
      <c r="AQ74" s="144"/>
      <c r="AR74" s="144"/>
      <c r="AS74" s="144"/>
      <c r="BC74" s="144"/>
      <c r="BD74" s="144"/>
      <c r="BE74" s="144"/>
      <c r="BF74" s="144"/>
      <c r="BG74" s="144"/>
      <c r="BH74" s="144"/>
      <c r="BL74" s="144"/>
      <c r="BM74" s="144"/>
      <c r="BN74" s="144"/>
      <c r="BX74" s="144"/>
      <c r="BY74" s="144"/>
      <c r="BZ74" s="144"/>
      <c r="CA74" s="144"/>
      <c r="CB74" s="144"/>
      <c r="CC74" s="144"/>
      <c r="CG74" s="144"/>
      <c r="CH74" s="144"/>
      <c r="CI74" s="144"/>
      <c r="CS74" s="144"/>
      <c r="CT74" s="144"/>
      <c r="CU74" s="144"/>
      <c r="CV74" s="144"/>
      <c r="CW74" s="144"/>
      <c r="CX74" s="144"/>
      <c r="DB74" s="144"/>
      <c r="DC74" s="144"/>
      <c r="DD74" s="144"/>
    </row>
    <row r="75" spans="2:108" x14ac:dyDescent="0.25">
      <c r="B75" s="122"/>
      <c r="C75" s="122"/>
      <c r="M75" s="144"/>
      <c r="N75" s="144"/>
      <c r="O75" s="144"/>
      <c r="P75" s="144"/>
      <c r="Q75" s="144"/>
      <c r="R75" s="144"/>
      <c r="V75" s="144"/>
      <c r="W75" s="144"/>
      <c r="X75" s="144"/>
      <c r="AH75" s="144"/>
      <c r="AI75" s="144"/>
      <c r="AJ75" s="144"/>
      <c r="AK75" s="144"/>
      <c r="AL75" s="144"/>
      <c r="AM75" s="144"/>
      <c r="AQ75" s="144"/>
      <c r="AR75" s="144"/>
      <c r="AS75" s="144"/>
      <c r="BC75" s="144"/>
      <c r="BD75" s="144"/>
      <c r="BE75" s="144"/>
      <c r="BF75" s="144"/>
      <c r="BG75" s="144"/>
      <c r="BH75" s="144"/>
      <c r="BL75" s="144"/>
      <c r="BM75" s="144"/>
      <c r="BN75" s="144"/>
      <c r="BX75" s="144"/>
      <c r="BY75" s="144"/>
      <c r="BZ75" s="144"/>
      <c r="CA75" s="144"/>
      <c r="CB75" s="144"/>
      <c r="CC75" s="144"/>
      <c r="CG75" s="144"/>
      <c r="CH75" s="144"/>
      <c r="CI75" s="144"/>
      <c r="CS75" s="144"/>
      <c r="CT75" s="144"/>
      <c r="CU75" s="144"/>
      <c r="CV75" s="144"/>
      <c r="CW75" s="144"/>
      <c r="CX75" s="144"/>
      <c r="DB75" s="144"/>
      <c r="DC75" s="144"/>
      <c r="DD75" s="144"/>
    </row>
    <row r="76" spans="2:108" x14ac:dyDescent="0.25">
      <c r="B76" s="122"/>
      <c r="C76" s="122"/>
      <c r="M76" s="144"/>
      <c r="N76" s="144"/>
      <c r="O76" s="144"/>
      <c r="P76" s="144"/>
      <c r="Q76" s="144"/>
      <c r="R76" s="144"/>
      <c r="V76" s="144"/>
      <c r="W76" s="144"/>
      <c r="X76" s="144"/>
      <c r="AH76" s="144"/>
      <c r="AI76" s="144"/>
      <c r="AJ76" s="144"/>
      <c r="AK76" s="144"/>
      <c r="AL76" s="144"/>
      <c r="AM76" s="144"/>
      <c r="AQ76" s="144"/>
      <c r="AR76" s="144"/>
      <c r="AS76" s="144"/>
      <c r="BC76" s="144"/>
      <c r="BD76" s="144"/>
      <c r="BE76" s="144"/>
      <c r="BF76" s="144"/>
      <c r="BG76" s="144"/>
      <c r="BH76" s="144"/>
      <c r="BL76" s="144"/>
      <c r="BM76" s="144"/>
      <c r="BN76" s="144"/>
      <c r="BX76" s="144"/>
      <c r="BY76" s="144"/>
      <c r="BZ76" s="144"/>
      <c r="CA76" s="144"/>
      <c r="CB76" s="144"/>
      <c r="CC76" s="144"/>
      <c r="CG76" s="144"/>
      <c r="CH76" s="144"/>
      <c r="CI76" s="144"/>
      <c r="CS76" s="144"/>
      <c r="CT76" s="144"/>
      <c r="CU76" s="144"/>
      <c r="CV76" s="144"/>
      <c r="CW76" s="144"/>
      <c r="CX76" s="144"/>
      <c r="DB76" s="144"/>
      <c r="DC76" s="144"/>
      <c r="DD76" s="144"/>
    </row>
    <row r="77" spans="2:108" x14ac:dyDescent="0.25">
      <c r="B77" s="122"/>
      <c r="C77" s="122"/>
      <c r="M77" s="144"/>
      <c r="N77" s="144"/>
      <c r="O77" s="144"/>
      <c r="P77" s="144"/>
      <c r="Q77" s="144"/>
      <c r="R77" s="144"/>
      <c r="V77" s="144"/>
      <c r="W77" s="144"/>
      <c r="X77" s="144"/>
      <c r="AH77" s="144"/>
      <c r="AI77" s="144"/>
      <c r="AJ77" s="144"/>
      <c r="AK77" s="144"/>
      <c r="AL77" s="144"/>
      <c r="AM77" s="144"/>
      <c r="AQ77" s="144"/>
      <c r="AR77" s="144"/>
      <c r="AS77" s="144"/>
      <c r="BC77" s="144"/>
      <c r="BD77" s="144"/>
      <c r="BE77" s="144"/>
      <c r="BF77" s="144"/>
      <c r="BG77" s="144"/>
      <c r="BH77" s="144"/>
      <c r="BL77" s="144"/>
      <c r="BM77" s="144"/>
      <c r="BN77" s="144"/>
      <c r="BX77" s="144"/>
      <c r="BY77" s="144"/>
      <c r="BZ77" s="144"/>
      <c r="CA77" s="144"/>
      <c r="CB77" s="144"/>
      <c r="CC77" s="144"/>
      <c r="CG77" s="144"/>
      <c r="CH77" s="144"/>
      <c r="CI77" s="144"/>
      <c r="CS77" s="144"/>
      <c r="CT77" s="144"/>
      <c r="CU77" s="144"/>
      <c r="CV77" s="144"/>
      <c r="CW77" s="144"/>
      <c r="CX77" s="144"/>
      <c r="DB77" s="144"/>
      <c r="DC77" s="144"/>
      <c r="DD77" s="144"/>
    </row>
    <row r="78" spans="2:108" x14ac:dyDescent="0.25">
      <c r="B78" s="122"/>
      <c r="C78" s="122"/>
      <c r="M78" s="144"/>
      <c r="N78" s="144"/>
      <c r="O78" s="144"/>
      <c r="P78" s="144"/>
      <c r="Q78" s="144"/>
      <c r="R78" s="144"/>
      <c r="V78" s="144"/>
      <c r="W78" s="144"/>
      <c r="X78" s="144"/>
      <c r="AH78" s="144"/>
      <c r="AI78" s="144"/>
      <c r="AJ78" s="144"/>
      <c r="AK78" s="144"/>
      <c r="AL78" s="144"/>
      <c r="AM78" s="144"/>
      <c r="AQ78" s="144"/>
      <c r="AR78" s="144"/>
      <c r="AS78" s="144"/>
      <c r="BC78" s="144"/>
      <c r="BD78" s="144"/>
      <c r="BE78" s="144"/>
      <c r="BF78" s="144"/>
      <c r="BG78" s="144"/>
      <c r="BH78" s="144"/>
      <c r="BL78" s="144"/>
      <c r="BM78" s="144"/>
      <c r="BN78" s="144"/>
      <c r="BX78" s="144"/>
      <c r="BY78" s="144"/>
      <c r="BZ78" s="144"/>
      <c r="CA78" s="144"/>
      <c r="CB78" s="144"/>
      <c r="CC78" s="144"/>
      <c r="CG78" s="144"/>
      <c r="CH78" s="144"/>
      <c r="CI78" s="144"/>
      <c r="CS78" s="144"/>
      <c r="CT78" s="144"/>
      <c r="CU78" s="144"/>
      <c r="CV78" s="144"/>
      <c r="CW78" s="144"/>
      <c r="CX78" s="144"/>
      <c r="DB78" s="144"/>
      <c r="DC78" s="144"/>
      <c r="DD78" s="144"/>
    </row>
    <row r="79" spans="2:108" x14ac:dyDescent="0.25">
      <c r="B79" s="122"/>
      <c r="C79" s="122"/>
      <c r="M79" s="144"/>
      <c r="N79" s="144"/>
      <c r="O79" s="144"/>
      <c r="P79" s="144"/>
      <c r="Q79" s="144"/>
      <c r="R79" s="144"/>
      <c r="V79" s="144"/>
      <c r="W79" s="144"/>
      <c r="X79" s="144"/>
      <c r="AH79" s="144"/>
      <c r="AI79" s="144"/>
      <c r="AJ79" s="144"/>
      <c r="AK79" s="144"/>
      <c r="AL79" s="144"/>
      <c r="AM79" s="144"/>
      <c r="AQ79" s="144"/>
      <c r="AR79" s="144"/>
      <c r="AS79" s="144"/>
      <c r="BC79" s="144"/>
      <c r="BD79" s="144"/>
      <c r="BE79" s="144"/>
      <c r="BF79" s="144"/>
      <c r="BG79" s="144"/>
      <c r="BH79" s="144"/>
      <c r="BL79" s="144"/>
      <c r="BM79" s="144"/>
      <c r="BN79" s="144"/>
      <c r="BX79" s="144"/>
      <c r="BY79" s="144"/>
      <c r="BZ79" s="144"/>
      <c r="CA79" s="144"/>
      <c r="CB79" s="144"/>
      <c r="CC79" s="144"/>
      <c r="CG79" s="144"/>
      <c r="CH79" s="144"/>
      <c r="CI79" s="144"/>
      <c r="CS79" s="144"/>
      <c r="CT79" s="144"/>
      <c r="CU79" s="144"/>
      <c r="CV79" s="144"/>
      <c r="CW79" s="144"/>
      <c r="CX79" s="144"/>
      <c r="DB79" s="144"/>
      <c r="DC79" s="144"/>
      <c r="DD79" s="144"/>
    </row>
    <row r="80" spans="2:108" x14ac:dyDescent="0.25">
      <c r="B80" s="122"/>
      <c r="C80" s="122"/>
      <c r="M80" s="144"/>
      <c r="N80" s="144"/>
      <c r="O80" s="144"/>
      <c r="P80" s="144"/>
      <c r="Q80" s="144"/>
      <c r="R80" s="144"/>
      <c r="V80" s="144"/>
      <c r="W80" s="144"/>
      <c r="X80" s="144"/>
      <c r="AH80" s="144"/>
      <c r="AI80" s="144"/>
      <c r="AJ80" s="144"/>
      <c r="AK80" s="144"/>
      <c r="AL80" s="144"/>
      <c r="AM80" s="144"/>
      <c r="AQ80" s="144"/>
      <c r="AR80" s="144"/>
      <c r="AS80" s="144"/>
      <c r="BC80" s="144"/>
      <c r="BD80" s="144"/>
      <c r="BE80" s="144"/>
      <c r="BF80" s="144"/>
      <c r="BG80" s="144"/>
      <c r="BH80" s="144"/>
      <c r="BL80" s="144"/>
      <c r="BM80" s="144"/>
      <c r="BN80" s="144"/>
      <c r="BX80" s="144"/>
      <c r="BY80" s="144"/>
      <c r="BZ80" s="144"/>
      <c r="CA80" s="144"/>
      <c r="CB80" s="144"/>
      <c r="CC80" s="144"/>
      <c r="CG80" s="144"/>
      <c r="CH80" s="144"/>
      <c r="CI80" s="144"/>
      <c r="CS80" s="144"/>
      <c r="CT80" s="144"/>
      <c r="CU80" s="144"/>
      <c r="CV80" s="144"/>
      <c r="CW80" s="144"/>
      <c r="CX80" s="144"/>
      <c r="DB80" s="144"/>
      <c r="DC80" s="144"/>
      <c r="DD80" s="144"/>
    </row>
    <row r="81" spans="2:108" x14ac:dyDescent="0.25">
      <c r="B81" s="122"/>
      <c r="C81" s="122"/>
      <c r="M81" s="144"/>
      <c r="N81" s="144"/>
      <c r="O81" s="144"/>
      <c r="P81" s="144"/>
      <c r="Q81" s="144"/>
      <c r="R81" s="144"/>
      <c r="V81" s="144"/>
      <c r="W81" s="144"/>
      <c r="X81" s="144"/>
      <c r="AH81" s="144"/>
      <c r="AI81" s="144"/>
      <c r="AJ81" s="144"/>
      <c r="AK81" s="144"/>
      <c r="AL81" s="144"/>
      <c r="AM81" s="144"/>
      <c r="AQ81" s="144"/>
      <c r="AR81" s="144"/>
      <c r="AS81" s="144"/>
      <c r="BC81" s="144"/>
      <c r="BD81" s="144"/>
      <c r="BE81" s="144"/>
      <c r="BF81" s="144"/>
      <c r="BG81" s="144"/>
      <c r="BH81" s="144"/>
      <c r="BL81" s="144"/>
      <c r="BM81" s="144"/>
      <c r="BN81" s="144"/>
      <c r="BX81" s="144"/>
      <c r="BY81" s="144"/>
      <c r="BZ81" s="144"/>
      <c r="CA81" s="144"/>
      <c r="CB81" s="144"/>
      <c r="CC81" s="144"/>
      <c r="CG81" s="144"/>
      <c r="CH81" s="144"/>
      <c r="CI81" s="144"/>
      <c r="CS81" s="144"/>
      <c r="CT81" s="144"/>
      <c r="CU81" s="144"/>
      <c r="CV81" s="144"/>
      <c r="CW81" s="144"/>
      <c r="CX81" s="144"/>
      <c r="DB81" s="144"/>
      <c r="DC81" s="144"/>
      <c r="DD81" s="144"/>
    </row>
    <row r="82" spans="2:108" x14ac:dyDescent="0.25">
      <c r="B82" s="122"/>
      <c r="C82" s="122"/>
      <c r="M82" s="144"/>
      <c r="N82" s="144"/>
      <c r="O82" s="144"/>
      <c r="P82" s="144"/>
      <c r="Q82" s="144"/>
      <c r="R82" s="144"/>
      <c r="V82" s="144"/>
      <c r="W82" s="144"/>
      <c r="X82" s="144"/>
      <c r="AH82" s="144"/>
      <c r="AI82" s="144"/>
      <c r="AJ82" s="144"/>
      <c r="AK82" s="144"/>
      <c r="AL82" s="144"/>
      <c r="AM82" s="144"/>
      <c r="AQ82" s="144"/>
      <c r="AR82" s="144"/>
      <c r="AS82" s="144"/>
      <c r="BC82" s="144"/>
      <c r="BD82" s="144"/>
      <c r="BE82" s="144"/>
      <c r="BF82" s="144"/>
      <c r="BG82" s="144"/>
      <c r="BH82" s="144"/>
      <c r="BL82" s="144"/>
      <c r="BM82" s="144"/>
      <c r="BN82" s="144"/>
      <c r="BX82" s="144"/>
      <c r="BY82" s="144"/>
      <c r="BZ82" s="144"/>
      <c r="CA82" s="144"/>
      <c r="CB82" s="144"/>
      <c r="CC82" s="144"/>
      <c r="CG82" s="144"/>
      <c r="CH82" s="144"/>
      <c r="CI82" s="144"/>
      <c r="CS82" s="144"/>
      <c r="CT82" s="144"/>
      <c r="CU82" s="144"/>
      <c r="CV82" s="144"/>
      <c r="CW82" s="144"/>
      <c r="CX82" s="144"/>
      <c r="DB82" s="144"/>
      <c r="DC82" s="144"/>
      <c r="DD82" s="144"/>
    </row>
    <row r="83" spans="2:108" x14ac:dyDescent="0.25">
      <c r="B83" s="122"/>
      <c r="C83" s="122"/>
      <c r="M83" s="144"/>
      <c r="N83" s="144"/>
      <c r="O83" s="144"/>
      <c r="P83" s="144"/>
      <c r="Q83" s="144"/>
      <c r="R83" s="144"/>
      <c r="V83" s="144"/>
      <c r="W83" s="144"/>
      <c r="X83" s="144"/>
      <c r="AH83" s="144"/>
      <c r="AI83" s="144"/>
      <c r="AJ83" s="144"/>
      <c r="AK83" s="144"/>
      <c r="AL83" s="144"/>
      <c r="AM83" s="144"/>
      <c r="AQ83" s="144"/>
      <c r="AR83" s="144"/>
      <c r="AS83" s="144"/>
      <c r="BC83" s="144"/>
      <c r="BD83" s="144"/>
      <c r="BE83" s="144"/>
      <c r="BF83" s="144"/>
      <c r="BG83" s="144"/>
      <c r="BH83" s="144"/>
      <c r="BL83" s="144"/>
      <c r="BM83" s="144"/>
      <c r="BN83" s="144"/>
      <c r="BX83" s="144"/>
      <c r="BY83" s="144"/>
      <c r="BZ83" s="144"/>
      <c r="CA83" s="144"/>
      <c r="CB83" s="144"/>
      <c r="CC83" s="144"/>
      <c r="CG83" s="144"/>
      <c r="CH83" s="144"/>
      <c r="CI83" s="144"/>
      <c r="CS83" s="144"/>
      <c r="CT83" s="144"/>
      <c r="CU83" s="144"/>
      <c r="CV83" s="144"/>
      <c r="CW83" s="144"/>
      <c r="CX83" s="144"/>
      <c r="DB83" s="144"/>
      <c r="DC83" s="144"/>
      <c r="DD83" s="144"/>
    </row>
    <row r="84" spans="2:108" x14ac:dyDescent="0.25">
      <c r="B84" s="122"/>
      <c r="C84" s="122"/>
      <c r="M84" s="144"/>
      <c r="N84" s="144"/>
      <c r="O84" s="144"/>
      <c r="P84" s="144"/>
      <c r="Q84" s="144"/>
      <c r="R84" s="144"/>
      <c r="V84" s="144"/>
      <c r="W84" s="144"/>
      <c r="X84" s="144"/>
      <c r="AH84" s="144"/>
      <c r="AI84" s="144"/>
      <c r="AJ84" s="144"/>
      <c r="AK84" s="144"/>
      <c r="AL84" s="144"/>
      <c r="AM84" s="144"/>
      <c r="AQ84" s="144"/>
      <c r="AR84" s="144"/>
      <c r="AS84" s="144"/>
      <c r="BC84" s="144"/>
      <c r="BD84" s="144"/>
      <c r="BE84" s="144"/>
      <c r="BF84" s="144"/>
      <c r="BG84" s="144"/>
      <c r="BH84" s="144"/>
      <c r="BL84" s="144"/>
      <c r="BM84" s="144"/>
      <c r="BN84" s="144"/>
      <c r="BX84" s="144"/>
      <c r="BY84" s="144"/>
      <c r="BZ84" s="144"/>
      <c r="CA84" s="144"/>
      <c r="CB84" s="144"/>
      <c r="CC84" s="144"/>
      <c r="CG84" s="144"/>
      <c r="CH84" s="144"/>
      <c r="CI84" s="144"/>
      <c r="CS84" s="144"/>
      <c r="CT84" s="144"/>
      <c r="CU84" s="144"/>
      <c r="CV84" s="144"/>
      <c r="CW84" s="144"/>
      <c r="CX84" s="144"/>
      <c r="DB84" s="144"/>
      <c r="DC84" s="144"/>
      <c r="DD84" s="144"/>
    </row>
    <row r="85" spans="2:108" x14ac:dyDescent="0.25">
      <c r="B85" s="122"/>
      <c r="C85" s="122"/>
      <c r="M85" s="144"/>
      <c r="N85" s="144"/>
      <c r="O85" s="144"/>
      <c r="P85" s="144"/>
      <c r="Q85" s="144"/>
      <c r="R85" s="144"/>
      <c r="V85" s="144"/>
      <c r="W85" s="144"/>
      <c r="X85" s="144"/>
      <c r="AH85" s="144"/>
      <c r="AI85" s="144"/>
      <c r="AJ85" s="144"/>
      <c r="AK85" s="144"/>
      <c r="AL85" s="144"/>
      <c r="AM85" s="144"/>
      <c r="AQ85" s="144"/>
      <c r="AR85" s="144"/>
      <c r="AS85" s="144"/>
      <c r="BC85" s="144"/>
      <c r="BD85" s="144"/>
      <c r="BE85" s="144"/>
      <c r="BF85" s="144"/>
      <c r="BG85" s="144"/>
      <c r="BH85" s="144"/>
      <c r="BL85" s="144"/>
      <c r="BM85" s="144"/>
      <c r="BN85" s="144"/>
      <c r="BX85" s="144"/>
      <c r="BY85" s="144"/>
      <c r="BZ85" s="144"/>
      <c r="CA85" s="144"/>
      <c r="CB85" s="144"/>
      <c r="CC85" s="144"/>
      <c r="CG85" s="144"/>
      <c r="CH85" s="144"/>
      <c r="CI85" s="144"/>
      <c r="CS85" s="144"/>
      <c r="CT85" s="144"/>
      <c r="CU85" s="144"/>
      <c r="CV85" s="144"/>
      <c r="CW85" s="144"/>
      <c r="CX85" s="144"/>
      <c r="DB85" s="144"/>
      <c r="DC85" s="144"/>
      <c r="DD85" s="144"/>
    </row>
    <row r="86" spans="2:108" x14ac:dyDescent="0.25">
      <c r="B86" s="122"/>
      <c r="C86" s="122"/>
      <c r="M86" s="144"/>
      <c r="N86" s="144"/>
      <c r="O86" s="144"/>
      <c r="P86" s="144"/>
      <c r="Q86" s="144"/>
      <c r="R86" s="144"/>
      <c r="V86" s="144"/>
      <c r="W86" s="144"/>
      <c r="X86" s="144"/>
      <c r="AH86" s="144"/>
      <c r="AI86" s="144"/>
      <c r="AJ86" s="144"/>
      <c r="AK86" s="144"/>
      <c r="AL86" s="144"/>
      <c r="AM86" s="144"/>
      <c r="AQ86" s="144"/>
      <c r="AR86" s="144"/>
      <c r="AS86" s="144"/>
      <c r="BC86" s="144"/>
      <c r="BD86" s="144"/>
      <c r="BE86" s="144"/>
      <c r="BF86" s="144"/>
      <c r="BG86" s="144"/>
      <c r="BH86" s="144"/>
      <c r="BL86" s="144"/>
      <c r="BM86" s="144"/>
      <c r="BN86" s="144"/>
      <c r="BX86" s="144"/>
      <c r="BY86" s="144"/>
      <c r="BZ86" s="144"/>
      <c r="CA86" s="144"/>
      <c r="CB86" s="144"/>
      <c r="CC86" s="144"/>
      <c r="CG86" s="144"/>
      <c r="CH86" s="144"/>
      <c r="CI86" s="144"/>
      <c r="CS86" s="144"/>
      <c r="CT86" s="144"/>
      <c r="CU86" s="144"/>
      <c r="CV86" s="144"/>
      <c r="CW86" s="144"/>
      <c r="CX86" s="144"/>
      <c r="DB86" s="144"/>
      <c r="DC86" s="144"/>
      <c r="DD86" s="144"/>
    </row>
    <row r="87" spans="2:108" x14ac:dyDescent="0.25">
      <c r="B87" s="122"/>
      <c r="C87" s="122"/>
      <c r="M87" s="144"/>
      <c r="N87" s="144"/>
      <c r="O87" s="144"/>
      <c r="P87" s="144"/>
      <c r="Q87" s="144"/>
      <c r="R87" s="144"/>
      <c r="V87" s="144"/>
      <c r="W87" s="144"/>
      <c r="X87" s="144"/>
      <c r="AH87" s="144"/>
      <c r="AI87" s="144"/>
      <c r="AJ87" s="144"/>
      <c r="AK87" s="144"/>
      <c r="AL87" s="144"/>
      <c r="AM87" s="144"/>
      <c r="AQ87" s="144"/>
      <c r="AR87" s="144"/>
      <c r="AS87" s="144"/>
      <c r="BC87" s="144"/>
      <c r="BD87" s="144"/>
      <c r="BE87" s="144"/>
      <c r="BF87" s="144"/>
      <c r="BG87" s="144"/>
      <c r="BH87" s="144"/>
      <c r="BL87" s="144"/>
      <c r="BM87" s="144"/>
      <c r="BN87" s="144"/>
      <c r="BX87" s="144"/>
      <c r="BY87" s="144"/>
      <c r="BZ87" s="144"/>
      <c r="CA87" s="144"/>
      <c r="CB87" s="144"/>
      <c r="CC87" s="144"/>
      <c r="CG87" s="144"/>
      <c r="CH87" s="144"/>
      <c r="CI87" s="144"/>
      <c r="CS87" s="144"/>
      <c r="CT87" s="144"/>
      <c r="CU87" s="144"/>
      <c r="CV87" s="144"/>
      <c r="CW87" s="144"/>
      <c r="CX87" s="144"/>
      <c r="DB87" s="144"/>
      <c r="DC87" s="144"/>
      <c r="DD87" s="144"/>
    </row>
    <row r="88" spans="2:108" x14ac:dyDescent="0.25">
      <c r="B88" s="122"/>
      <c r="C88" s="122"/>
      <c r="M88" s="144"/>
      <c r="N88" s="144"/>
      <c r="O88" s="144"/>
      <c r="P88" s="144"/>
      <c r="Q88" s="144"/>
      <c r="R88" s="144"/>
      <c r="V88" s="144"/>
      <c r="W88" s="144"/>
      <c r="X88" s="144"/>
      <c r="AH88" s="144"/>
      <c r="AI88" s="144"/>
      <c r="AJ88" s="144"/>
      <c r="AK88" s="144"/>
      <c r="AL88" s="144"/>
      <c r="AM88" s="144"/>
      <c r="AQ88" s="144"/>
      <c r="AR88" s="144"/>
      <c r="AS88" s="144"/>
      <c r="BC88" s="144"/>
      <c r="BD88" s="144"/>
      <c r="BE88" s="144"/>
      <c r="BF88" s="144"/>
      <c r="BG88" s="144"/>
      <c r="BH88" s="144"/>
      <c r="BL88" s="144"/>
      <c r="BM88" s="144"/>
      <c r="BN88" s="144"/>
      <c r="BX88" s="144"/>
      <c r="BY88" s="144"/>
      <c r="BZ88" s="144"/>
      <c r="CA88" s="144"/>
      <c r="CB88" s="144"/>
      <c r="CC88" s="144"/>
      <c r="CG88" s="144"/>
      <c r="CH88" s="144"/>
      <c r="CI88" s="144"/>
      <c r="CS88" s="144"/>
      <c r="CT88" s="144"/>
      <c r="CU88" s="144"/>
      <c r="CV88" s="144"/>
      <c r="CW88" s="144"/>
      <c r="CX88" s="144"/>
      <c r="DB88" s="144"/>
      <c r="DC88" s="144"/>
      <c r="DD88" s="144"/>
    </row>
    <row r="89" spans="2:108" x14ac:dyDescent="0.25">
      <c r="B89" s="122"/>
      <c r="C89" s="122"/>
      <c r="M89" s="144"/>
      <c r="N89" s="144"/>
      <c r="O89" s="144"/>
      <c r="P89" s="144"/>
      <c r="Q89" s="144"/>
      <c r="R89" s="144"/>
      <c r="V89" s="144"/>
      <c r="W89" s="144"/>
      <c r="X89" s="144"/>
      <c r="AH89" s="144"/>
      <c r="AI89" s="144"/>
      <c r="AJ89" s="144"/>
      <c r="AK89" s="144"/>
      <c r="AL89" s="144"/>
      <c r="AM89" s="144"/>
      <c r="AQ89" s="144"/>
      <c r="AR89" s="144"/>
      <c r="AS89" s="144"/>
      <c r="BC89" s="144"/>
      <c r="BD89" s="144"/>
      <c r="BE89" s="144"/>
      <c r="BF89" s="144"/>
      <c r="BG89" s="144"/>
      <c r="BH89" s="144"/>
      <c r="BL89" s="144"/>
      <c r="BM89" s="144"/>
      <c r="BN89" s="144"/>
      <c r="BX89" s="144"/>
      <c r="BY89" s="144"/>
      <c r="BZ89" s="144"/>
      <c r="CA89" s="144"/>
      <c r="CB89" s="144"/>
      <c r="CC89" s="144"/>
      <c r="CG89" s="144"/>
      <c r="CH89" s="144"/>
      <c r="CI89" s="144"/>
      <c r="CS89" s="144"/>
      <c r="CT89" s="144"/>
      <c r="CU89" s="144"/>
      <c r="CV89" s="144"/>
      <c r="CW89" s="144"/>
      <c r="CX89" s="144"/>
      <c r="DB89" s="144"/>
      <c r="DC89" s="144"/>
      <c r="DD89" s="144"/>
    </row>
    <row r="90" spans="2:108" x14ac:dyDescent="0.25">
      <c r="M90" s="144"/>
      <c r="N90" s="144"/>
      <c r="O90" s="144"/>
      <c r="P90" s="144"/>
      <c r="Q90" s="144"/>
      <c r="R90" s="144"/>
      <c r="V90" s="144"/>
      <c r="W90" s="144"/>
      <c r="X90" s="144"/>
      <c r="AH90" s="144"/>
      <c r="AI90" s="144"/>
      <c r="AJ90" s="144"/>
      <c r="AK90" s="144"/>
      <c r="AL90" s="144"/>
      <c r="AM90" s="144"/>
      <c r="AQ90" s="144"/>
      <c r="AR90" s="144"/>
      <c r="AS90" s="144"/>
      <c r="BC90" s="144"/>
      <c r="BD90" s="144"/>
      <c r="BE90" s="144"/>
      <c r="BF90" s="144"/>
      <c r="BG90" s="144"/>
      <c r="BH90" s="144"/>
      <c r="BL90" s="144"/>
      <c r="BM90" s="144"/>
      <c r="BN90" s="144"/>
      <c r="BX90" s="144"/>
      <c r="BY90" s="144"/>
      <c r="BZ90" s="144"/>
      <c r="CA90" s="144"/>
      <c r="CB90" s="144"/>
      <c r="CC90" s="144"/>
      <c r="CG90" s="144"/>
      <c r="CH90" s="144"/>
      <c r="CI90" s="144"/>
      <c r="CS90" s="144"/>
      <c r="CT90" s="144"/>
      <c r="CU90" s="144"/>
      <c r="CV90" s="144"/>
      <c r="CW90" s="144"/>
      <c r="CX90" s="144"/>
      <c r="DB90" s="144"/>
      <c r="DC90" s="144"/>
      <c r="DD90" s="144"/>
    </row>
    <row r="91" spans="2:108" x14ac:dyDescent="0.25">
      <c r="M91" s="144"/>
      <c r="N91" s="144"/>
      <c r="O91" s="144"/>
      <c r="P91" s="144"/>
      <c r="Q91" s="144"/>
      <c r="R91" s="144"/>
      <c r="V91" s="144"/>
      <c r="W91" s="144"/>
      <c r="X91" s="144"/>
      <c r="AH91" s="144"/>
      <c r="AI91" s="144"/>
      <c r="AJ91" s="144"/>
      <c r="AK91" s="144"/>
      <c r="AL91" s="144"/>
      <c r="AM91" s="144"/>
      <c r="AQ91" s="144"/>
      <c r="AR91" s="144"/>
      <c r="AS91" s="144"/>
      <c r="BC91" s="144"/>
      <c r="BD91" s="144"/>
      <c r="BE91" s="144"/>
      <c r="BF91" s="144"/>
      <c r="BG91" s="144"/>
      <c r="BH91" s="144"/>
      <c r="BL91" s="144"/>
      <c r="BM91" s="144"/>
      <c r="BN91" s="144"/>
      <c r="BX91" s="144"/>
      <c r="BY91" s="144"/>
      <c r="BZ91" s="144"/>
      <c r="CA91" s="144"/>
      <c r="CB91" s="144"/>
      <c r="CC91" s="144"/>
      <c r="CG91" s="144"/>
      <c r="CH91" s="144"/>
      <c r="CI91" s="144"/>
      <c r="CS91" s="144"/>
      <c r="CT91" s="144"/>
      <c r="CU91" s="144"/>
      <c r="CV91" s="144"/>
      <c r="CW91" s="144"/>
      <c r="CX91" s="144"/>
      <c r="DB91" s="144"/>
      <c r="DC91" s="144"/>
      <c r="DD91" s="144"/>
    </row>
    <row r="92" spans="2:108" x14ac:dyDescent="0.25">
      <c r="M92" s="144"/>
      <c r="N92" s="144"/>
      <c r="O92" s="144"/>
      <c r="P92" s="144"/>
      <c r="Q92" s="144"/>
      <c r="R92" s="144"/>
      <c r="V92" s="144"/>
      <c r="W92" s="144"/>
      <c r="X92" s="144"/>
      <c r="AH92" s="144"/>
      <c r="AI92" s="144"/>
      <c r="AJ92" s="144"/>
      <c r="AK92" s="144"/>
      <c r="AL92" s="144"/>
      <c r="AM92" s="144"/>
      <c r="AQ92" s="144"/>
      <c r="AR92" s="144"/>
      <c r="AS92" s="144"/>
      <c r="BC92" s="144"/>
      <c r="BD92" s="144"/>
      <c r="BE92" s="144"/>
      <c r="BF92" s="144"/>
      <c r="BG92" s="144"/>
      <c r="BH92" s="144"/>
      <c r="BL92" s="144"/>
      <c r="BM92" s="144"/>
      <c r="BN92" s="144"/>
      <c r="BX92" s="144"/>
      <c r="BY92" s="144"/>
      <c r="BZ92" s="144"/>
      <c r="CA92" s="144"/>
      <c r="CB92" s="144"/>
      <c r="CC92" s="144"/>
      <c r="CG92" s="144"/>
      <c r="CH92" s="144"/>
      <c r="CI92" s="144"/>
      <c r="CS92" s="144"/>
      <c r="CT92" s="144"/>
      <c r="CU92" s="144"/>
      <c r="CV92" s="144"/>
      <c r="CW92" s="144"/>
      <c r="CX92" s="144"/>
      <c r="DB92" s="144"/>
      <c r="DC92" s="144"/>
      <c r="DD92" s="144"/>
    </row>
    <row r="93" spans="2:108" x14ac:dyDescent="0.25">
      <c r="M93" s="144"/>
      <c r="N93" s="144"/>
      <c r="O93" s="144"/>
      <c r="P93" s="144"/>
      <c r="Q93" s="144"/>
      <c r="R93" s="144"/>
      <c r="V93" s="144"/>
      <c r="W93" s="144"/>
      <c r="X93" s="144"/>
      <c r="AH93" s="144"/>
      <c r="AI93" s="144"/>
      <c r="AJ93" s="144"/>
      <c r="AK93" s="144"/>
      <c r="AL93" s="144"/>
      <c r="AM93" s="144"/>
      <c r="AQ93" s="144"/>
      <c r="AR93" s="144"/>
      <c r="AS93" s="144"/>
      <c r="BC93" s="144"/>
      <c r="BD93" s="144"/>
      <c r="BE93" s="144"/>
      <c r="BF93" s="144"/>
      <c r="BG93" s="144"/>
      <c r="BH93" s="144"/>
      <c r="BL93" s="144"/>
      <c r="BM93" s="144"/>
      <c r="BN93" s="144"/>
      <c r="BX93" s="144"/>
      <c r="BY93" s="144"/>
      <c r="BZ93" s="144"/>
      <c r="CA93" s="144"/>
      <c r="CB93" s="144"/>
      <c r="CC93" s="144"/>
      <c r="CG93" s="144"/>
      <c r="CH93" s="144"/>
      <c r="CI93" s="144"/>
      <c r="CS93" s="144"/>
      <c r="CT93" s="144"/>
      <c r="CU93" s="144"/>
      <c r="CV93" s="144"/>
      <c r="CW93" s="144"/>
      <c r="CX93" s="144"/>
      <c r="DB93" s="144"/>
      <c r="DC93" s="144"/>
      <c r="DD93" s="144"/>
    </row>
    <row r="94" spans="2:108" x14ac:dyDescent="0.25">
      <c r="I94" s="144"/>
      <c r="J94" s="144"/>
      <c r="K94" s="144"/>
      <c r="L94" s="144"/>
      <c r="M94" s="144"/>
      <c r="N94" s="144"/>
      <c r="O94" s="144"/>
      <c r="U94" s="144"/>
      <c r="V94" s="144"/>
      <c r="W94" s="144"/>
      <c r="X94" s="144"/>
      <c r="Y94" s="144"/>
      <c r="Z94" s="144"/>
      <c r="AA94" s="144"/>
      <c r="AG94" s="144"/>
      <c r="AH94" s="144"/>
      <c r="AI94" s="144"/>
      <c r="AJ94" s="144"/>
      <c r="AK94" s="144"/>
      <c r="AL94" s="144"/>
      <c r="AM94" s="144"/>
      <c r="AS94" s="144"/>
      <c r="AT94" s="144"/>
      <c r="AU94" s="144"/>
      <c r="AV94" s="144"/>
      <c r="AW94" s="144"/>
      <c r="AX94" s="144"/>
      <c r="AY94" s="144"/>
    </row>
    <row r="95" spans="2:108" x14ac:dyDescent="0.25">
      <c r="I95" s="144"/>
      <c r="J95" s="144"/>
      <c r="K95" s="144"/>
      <c r="L95" s="144"/>
      <c r="M95" s="144"/>
      <c r="N95" s="144"/>
      <c r="O95" s="144"/>
      <c r="U95" s="144"/>
      <c r="V95" s="144"/>
      <c r="W95" s="144"/>
      <c r="X95" s="144"/>
      <c r="Y95" s="144"/>
      <c r="Z95" s="144"/>
      <c r="AA95" s="144"/>
      <c r="AG95" s="144"/>
      <c r="AH95" s="144"/>
      <c r="AI95" s="144"/>
      <c r="AJ95" s="144"/>
      <c r="AK95" s="144"/>
      <c r="AL95" s="144"/>
      <c r="AM95" s="144"/>
      <c r="AS95" s="144"/>
      <c r="AT95" s="144"/>
      <c r="AU95" s="144"/>
      <c r="AV95" s="144"/>
      <c r="AW95" s="144"/>
      <c r="AX95" s="144"/>
      <c r="AY95" s="144"/>
    </row>
    <row r="96" spans="2:108" x14ac:dyDescent="0.25">
      <c r="I96" s="144"/>
      <c r="J96" s="144"/>
      <c r="K96" s="144"/>
      <c r="L96" s="144"/>
      <c r="M96" s="144"/>
      <c r="N96" s="144"/>
      <c r="O96" s="144"/>
      <c r="U96" s="144"/>
      <c r="V96" s="144"/>
      <c r="W96" s="144"/>
      <c r="X96" s="144"/>
      <c r="Y96" s="144"/>
      <c r="Z96" s="144"/>
      <c r="AA96" s="144"/>
      <c r="AG96" s="144"/>
      <c r="AH96" s="144"/>
      <c r="AI96" s="144"/>
      <c r="AJ96" s="144"/>
      <c r="AK96" s="144"/>
      <c r="AL96" s="144"/>
      <c r="AM96" s="144"/>
      <c r="AS96" s="144"/>
      <c r="AT96" s="144"/>
      <c r="AU96" s="144"/>
      <c r="AV96" s="144"/>
      <c r="AW96" s="144"/>
      <c r="AX96" s="144"/>
      <c r="AY96" s="144"/>
    </row>
    <row r="97" spans="9:51" x14ac:dyDescent="0.25">
      <c r="I97" s="144"/>
      <c r="J97" s="144"/>
      <c r="K97" s="144"/>
      <c r="L97" s="144"/>
      <c r="M97" s="144"/>
      <c r="N97" s="144"/>
      <c r="O97" s="144"/>
      <c r="U97" s="144"/>
      <c r="V97" s="144"/>
      <c r="W97" s="144"/>
      <c r="X97" s="144"/>
      <c r="Y97" s="144"/>
      <c r="Z97" s="144"/>
      <c r="AA97" s="144"/>
      <c r="AG97" s="144"/>
      <c r="AH97" s="144"/>
      <c r="AI97" s="144"/>
      <c r="AJ97" s="144"/>
      <c r="AK97" s="144"/>
      <c r="AL97" s="144"/>
      <c r="AM97" s="144"/>
      <c r="AS97" s="144"/>
      <c r="AT97" s="144"/>
      <c r="AU97" s="144"/>
      <c r="AV97" s="144"/>
      <c r="AW97" s="144"/>
      <c r="AX97" s="144"/>
      <c r="AY97" s="144"/>
    </row>
  </sheetData>
  <mergeCells count="121">
    <mergeCell ref="BF52:BN52"/>
    <mergeCell ref="BO52:BZ52"/>
    <mergeCell ref="CA52:CI52"/>
    <mergeCell ref="CJ52:CU52"/>
    <mergeCell ref="CV52:DD52"/>
    <mergeCell ref="D52:O52"/>
    <mergeCell ref="P52:X52"/>
    <mergeCell ref="Y52:AJ52"/>
    <mergeCell ref="AK52:AS52"/>
    <mergeCell ref="AT52:BE52"/>
    <mergeCell ref="BF51:BN51"/>
    <mergeCell ref="BO51:BZ51"/>
    <mergeCell ref="CA51:CI51"/>
    <mergeCell ref="CJ51:CU51"/>
    <mergeCell ref="CV51:DD51"/>
    <mergeCell ref="D51:O51"/>
    <mergeCell ref="P51:X51"/>
    <mergeCell ref="Y51:AJ51"/>
    <mergeCell ref="AK51:AS51"/>
    <mergeCell ref="AT51:BE51"/>
    <mergeCell ref="BF50:BN50"/>
    <mergeCell ref="BO50:BZ50"/>
    <mergeCell ref="CA50:CI50"/>
    <mergeCell ref="CJ50:CU50"/>
    <mergeCell ref="CV50:DD50"/>
    <mergeCell ref="D50:O50"/>
    <mergeCell ref="P50:X50"/>
    <mergeCell ref="Y50:AJ50"/>
    <mergeCell ref="AK50:AS50"/>
    <mergeCell ref="AT50:BE50"/>
    <mergeCell ref="DB5:DD5"/>
    <mergeCell ref="AN5:AP5"/>
    <mergeCell ref="AQ5:AS5"/>
    <mergeCell ref="AZ5:BB5"/>
    <mergeCell ref="BC5:BE5"/>
    <mergeCell ref="BI5:BK5"/>
    <mergeCell ref="DB3:DD4"/>
    <mergeCell ref="D4:F5"/>
    <mergeCell ref="G4:I5"/>
    <mergeCell ref="J4:O4"/>
    <mergeCell ref="Y4:AA5"/>
    <mergeCell ref="AB4:AD5"/>
    <mergeCell ref="AE4:AG4"/>
    <mergeCell ref="AH4:AJ5"/>
    <mergeCell ref="AT4:AV5"/>
    <mergeCell ref="AW4:AY5"/>
    <mergeCell ref="AZ4:BE4"/>
    <mergeCell ref="BO4:BQ5"/>
    <mergeCell ref="BR4:BT5"/>
    <mergeCell ref="BU4:BZ4"/>
    <mergeCell ref="CJ4:CL5"/>
    <mergeCell ref="CM4:CO5"/>
    <mergeCell ref="CG3:CI4"/>
    <mergeCell ref="CJ3:CL3"/>
    <mergeCell ref="CY3:DA4"/>
    <mergeCell ref="CP4:CU4"/>
    <mergeCell ref="CG5:CI5"/>
    <mergeCell ref="CP5:CR5"/>
    <mergeCell ref="CS5:CU5"/>
    <mergeCell ref="CY5:DA5"/>
    <mergeCell ref="BO3:BQ3"/>
    <mergeCell ref="BR3:BZ3"/>
    <mergeCell ref="CA3:CC5"/>
    <mergeCell ref="CD3:CF4"/>
    <mergeCell ref="BX5:BZ5"/>
    <mergeCell ref="CD5:CF5"/>
    <mergeCell ref="AT3:AV3"/>
    <mergeCell ref="AW3:BE3"/>
    <mergeCell ref="BF3:BH5"/>
    <mergeCell ref="BI3:BK4"/>
    <mergeCell ref="BL3:BN4"/>
    <mergeCell ref="CM3:CU3"/>
    <mergeCell ref="CV3:CX5"/>
    <mergeCell ref="B15:B17"/>
    <mergeCell ref="B36:B37"/>
    <mergeCell ref="CV1:DD1"/>
    <mergeCell ref="D2:O2"/>
    <mergeCell ref="P2:X2"/>
    <mergeCell ref="Y2:AJ2"/>
    <mergeCell ref="AK2:AS2"/>
    <mergeCell ref="AT2:BE2"/>
    <mergeCell ref="BF2:BN2"/>
    <mergeCell ref="BO2:BZ2"/>
    <mergeCell ref="CA2:CI2"/>
    <mergeCell ref="CJ2:CU2"/>
    <mergeCell ref="CV2:DD2"/>
    <mergeCell ref="AT1:BE1"/>
    <mergeCell ref="BF1:BN1"/>
    <mergeCell ref="BO1:BZ1"/>
    <mergeCell ref="CA1:CI1"/>
    <mergeCell ref="CJ1:CU1"/>
    <mergeCell ref="D1:O1"/>
    <mergeCell ref="P1:X1"/>
    <mergeCell ref="Y1:AJ1"/>
    <mergeCell ref="AK1:AS1"/>
    <mergeCell ref="BL5:BN5"/>
    <mergeCell ref="BU5:BW5"/>
    <mergeCell ref="B41:B44"/>
    <mergeCell ref="B45:B46"/>
    <mergeCell ref="AQ3:AS4"/>
    <mergeCell ref="P3:R5"/>
    <mergeCell ref="S3:U4"/>
    <mergeCell ref="V3:X4"/>
    <mergeCell ref="Y3:AJ3"/>
    <mergeCell ref="D3:O3"/>
    <mergeCell ref="A49:C49"/>
    <mergeCell ref="AK3:AM5"/>
    <mergeCell ref="AN3:AP4"/>
    <mergeCell ref="B7:B8"/>
    <mergeCell ref="B10:B11"/>
    <mergeCell ref="B12:B14"/>
    <mergeCell ref="J5:L5"/>
    <mergeCell ref="M5:O5"/>
    <mergeCell ref="S5:U5"/>
    <mergeCell ref="V5:X5"/>
    <mergeCell ref="AE5:AG5"/>
    <mergeCell ref="C1:C6"/>
    <mergeCell ref="A1:A6"/>
    <mergeCell ref="B1:B6"/>
    <mergeCell ref="B47:B48"/>
    <mergeCell ref="B26:B27"/>
  </mergeCells>
  <conditionalFormatting sqref="G53:DD93">
    <cfRule type="cellIs" dxfId="0" priority="1" operator="equal">
      <formula>FALSE</formula>
    </cfRule>
  </conditionalFormatting>
  <pageMargins left="0.7" right="0.7" top="0.75" bottom="0.75" header="0.3" footer="0.3"/>
  <pageSetup paperSize="9" scale="53" firstPageNumber="75" orientation="landscape" useFirstPageNumber="1" r:id="rId1"/>
  <headerFooter>
    <oddFooter>Page &amp;P</oddFooter>
  </headerFooter>
  <rowBreaks count="1" manualBreakCount="1">
    <brk id="27" max="107" man="1"/>
  </rowBreaks>
  <colBreaks count="9" manualBreakCount="9">
    <brk id="15" max="1048575" man="1"/>
    <brk id="24" max="1048575" man="1"/>
    <brk id="36" max="1048575" man="1"/>
    <brk id="45" max="1048575" man="1"/>
    <brk id="57" max="1048575" man="1"/>
    <brk id="66" max="1048575" man="1"/>
    <brk id="78" max="1048575" man="1"/>
    <brk id="87" max="1048575" man="1"/>
    <brk id="9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Z63"/>
  <sheetViews>
    <sheetView view="pageBreakPreview" zoomScale="55" zoomScaleSheetLayoutView="55" workbookViewId="0">
      <pane xSplit="2" ySplit="8" topLeftCell="EE17" activePane="bottomRight" state="frozen"/>
      <selection pane="topRight" activeCell="C1" sqref="C1"/>
      <selection pane="bottomLeft" activeCell="A9" sqref="A9"/>
      <selection pane="bottomRight" activeCell="EI26" sqref="EI26"/>
    </sheetView>
  </sheetViews>
  <sheetFormatPr defaultColWidth="9.140625" defaultRowHeight="15" x14ac:dyDescent="0.25"/>
  <cols>
    <col min="1" max="1" width="8.5703125" style="121" customWidth="1"/>
    <col min="2" max="2" width="41.7109375" style="122" customWidth="1"/>
    <col min="3" max="14" width="11.5703125" style="121" customWidth="1"/>
    <col min="15" max="15" width="9" style="121" bestFit="1" customWidth="1"/>
    <col min="16" max="17" width="8.5703125" style="121" bestFit="1" customWidth="1"/>
    <col min="18" max="29" width="11.5703125" style="121" customWidth="1"/>
    <col min="30" max="32" width="9" style="121" bestFit="1" customWidth="1"/>
    <col min="33" max="44" width="11.5703125" style="121" customWidth="1"/>
    <col min="45" max="47" width="9" style="121" bestFit="1" customWidth="1"/>
    <col min="48" max="59" width="11.5703125" style="121" customWidth="1"/>
    <col min="60" max="62" width="9" style="121" bestFit="1" customWidth="1"/>
    <col min="63" max="74" width="11.5703125" style="121" customWidth="1"/>
    <col min="75" max="77" width="8.42578125" style="121" bestFit="1" customWidth="1"/>
    <col min="78" max="78" width="12.85546875" style="121" customWidth="1"/>
    <col min="79" max="89" width="11.5703125" style="121" customWidth="1"/>
    <col min="90" max="90" width="9.28515625" style="121" bestFit="1" customWidth="1"/>
    <col min="91" max="92" width="9" style="121" bestFit="1" customWidth="1"/>
    <col min="93" max="104" width="11.5703125" style="121" customWidth="1"/>
    <col min="105" max="105" width="8.42578125" style="121" bestFit="1" customWidth="1"/>
    <col min="106" max="107" width="9" style="121" bestFit="1" customWidth="1"/>
    <col min="108" max="119" width="11.5703125" style="121" customWidth="1"/>
    <col min="120" max="122" width="9" style="121" bestFit="1" customWidth="1"/>
    <col min="123" max="134" width="11.5703125" style="121" customWidth="1"/>
    <col min="135" max="135" width="8.42578125" style="121" bestFit="1" customWidth="1"/>
    <col min="136" max="137" width="9" style="121" bestFit="1" customWidth="1"/>
    <col min="138" max="164" width="11.5703125" style="121" customWidth="1"/>
    <col min="165" max="16384" width="9.140625" style="121"/>
  </cols>
  <sheetData>
    <row r="1" spans="1:182" ht="18" customHeight="1" x14ac:dyDescent="0.25">
      <c r="B1" s="125"/>
      <c r="C1" s="510" t="s">
        <v>208</v>
      </c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1" t="str">
        <f>C1</f>
        <v>RESULTS OF SECONDARY EXAMINATION- 2017</v>
      </c>
      <c r="S1" s="511"/>
      <c r="T1" s="511"/>
      <c r="U1" s="511"/>
      <c r="V1" s="511"/>
      <c r="W1" s="511"/>
      <c r="X1" s="511"/>
      <c r="Y1" s="511"/>
      <c r="Z1" s="511"/>
      <c r="AA1" s="511"/>
      <c r="AB1" s="511"/>
      <c r="AC1" s="511"/>
      <c r="AD1" s="511"/>
      <c r="AE1" s="511"/>
      <c r="AF1" s="511"/>
      <c r="AG1" s="511" t="str">
        <f>R1</f>
        <v>RESULTS OF SECONDARY EXAMINATION- 2017</v>
      </c>
      <c r="AH1" s="511"/>
      <c r="AI1" s="511"/>
      <c r="AJ1" s="511"/>
      <c r="AK1" s="511"/>
      <c r="AL1" s="511"/>
      <c r="AM1" s="511"/>
      <c r="AN1" s="511"/>
      <c r="AO1" s="511"/>
      <c r="AP1" s="511"/>
      <c r="AQ1" s="511"/>
      <c r="AR1" s="511"/>
      <c r="AS1" s="511"/>
      <c r="AT1" s="511"/>
      <c r="AU1" s="511"/>
      <c r="AV1" s="511" t="str">
        <f>AG1</f>
        <v>RESULTS OF SECONDARY EXAMINATION- 2017</v>
      </c>
      <c r="AW1" s="511"/>
      <c r="AX1" s="511"/>
      <c r="AY1" s="511"/>
      <c r="AZ1" s="511"/>
      <c r="BA1" s="511"/>
      <c r="BB1" s="511"/>
      <c r="BC1" s="511"/>
      <c r="BD1" s="511"/>
      <c r="BE1" s="511"/>
      <c r="BF1" s="511"/>
      <c r="BG1" s="511"/>
      <c r="BH1" s="511"/>
      <c r="BI1" s="511"/>
      <c r="BJ1" s="511"/>
      <c r="BK1" s="511" t="str">
        <f>AV1</f>
        <v>RESULTS OF SECONDARY EXAMINATION- 2017</v>
      </c>
      <c r="BL1" s="511"/>
      <c r="BM1" s="511"/>
      <c r="BN1" s="511"/>
      <c r="BO1" s="511"/>
      <c r="BP1" s="511"/>
      <c r="BQ1" s="511"/>
      <c r="BR1" s="511"/>
      <c r="BS1" s="511"/>
      <c r="BT1" s="511"/>
      <c r="BU1" s="511"/>
      <c r="BV1" s="511"/>
      <c r="BW1" s="511"/>
      <c r="BX1" s="511"/>
      <c r="BY1" s="511"/>
      <c r="BZ1" s="511" t="str">
        <f>BK1</f>
        <v>RESULTS OF SECONDARY EXAMINATION- 2017</v>
      </c>
      <c r="CA1" s="511"/>
      <c r="CB1" s="511"/>
      <c r="CC1" s="511"/>
      <c r="CD1" s="511"/>
      <c r="CE1" s="511"/>
      <c r="CF1" s="511"/>
      <c r="CG1" s="511"/>
      <c r="CH1" s="511"/>
      <c r="CI1" s="511"/>
      <c r="CJ1" s="511"/>
      <c r="CK1" s="511"/>
      <c r="CL1" s="511"/>
      <c r="CM1" s="511"/>
      <c r="CN1" s="511"/>
      <c r="CO1" s="511" t="str">
        <f>AG1</f>
        <v>RESULTS OF SECONDARY EXAMINATION- 2017</v>
      </c>
      <c r="CP1" s="511"/>
      <c r="CQ1" s="511"/>
      <c r="CR1" s="511"/>
      <c r="CS1" s="511"/>
      <c r="CT1" s="511"/>
      <c r="CU1" s="511"/>
      <c r="CV1" s="511"/>
      <c r="CW1" s="511"/>
      <c r="CX1" s="511"/>
      <c r="CY1" s="511"/>
      <c r="CZ1" s="511"/>
      <c r="DA1" s="511"/>
      <c r="DB1" s="511"/>
      <c r="DC1" s="511"/>
      <c r="DD1" s="511" t="str">
        <f>CO1</f>
        <v>RESULTS OF SECONDARY EXAMINATION- 2017</v>
      </c>
      <c r="DE1" s="511"/>
      <c r="DF1" s="511"/>
      <c r="DG1" s="511"/>
      <c r="DH1" s="511"/>
      <c r="DI1" s="511"/>
      <c r="DJ1" s="511"/>
      <c r="DK1" s="511"/>
      <c r="DL1" s="511"/>
      <c r="DM1" s="511"/>
      <c r="DN1" s="511"/>
      <c r="DO1" s="511"/>
      <c r="DP1" s="511"/>
      <c r="DQ1" s="511"/>
      <c r="DR1" s="511"/>
      <c r="DS1" s="511" t="str">
        <f>DD1</f>
        <v>RESULTS OF SECONDARY EXAMINATION- 2017</v>
      </c>
      <c r="DT1" s="511"/>
      <c r="DU1" s="511"/>
      <c r="DV1" s="511"/>
      <c r="DW1" s="511"/>
      <c r="DX1" s="511"/>
      <c r="DY1" s="511"/>
      <c r="DZ1" s="511"/>
      <c r="EA1" s="511"/>
      <c r="EB1" s="511"/>
      <c r="EC1" s="511"/>
      <c r="ED1" s="511"/>
      <c r="EE1" s="511"/>
      <c r="EF1" s="511"/>
      <c r="EG1" s="511"/>
      <c r="EH1" s="510" t="str">
        <f>C1</f>
        <v>RESULTS OF SECONDARY EXAMINATION- 2017</v>
      </c>
      <c r="EI1" s="510"/>
      <c r="EJ1" s="510"/>
      <c r="EK1" s="510"/>
      <c r="EL1" s="510"/>
      <c r="EM1" s="510"/>
      <c r="EN1" s="510"/>
      <c r="EO1" s="510"/>
      <c r="EP1" s="510"/>
      <c r="EQ1" s="510" t="str">
        <f>C1</f>
        <v>RESULTS OF SECONDARY EXAMINATION- 2017</v>
      </c>
      <c r="ER1" s="510"/>
      <c r="ES1" s="510"/>
      <c r="ET1" s="510"/>
      <c r="EU1" s="510"/>
      <c r="EV1" s="510"/>
      <c r="EW1" s="510"/>
      <c r="EX1" s="510"/>
      <c r="EY1" s="510"/>
      <c r="EZ1" s="510" t="str">
        <f>C1</f>
        <v>RESULTS OF SECONDARY EXAMINATION- 2017</v>
      </c>
      <c r="FA1" s="510"/>
      <c r="FB1" s="510"/>
      <c r="FC1" s="510"/>
      <c r="FD1" s="510"/>
      <c r="FE1" s="510"/>
      <c r="FF1" s="510"/>
      <c r="FG1" s="510"/>
      <c r="FH1" s="510"/>
    </row>
    <row r="2" spans="1:182" ht="15.75" customHeight="1" x14ac:dyDescent="0.25">
      <c r="B2" s="125"/>
      <c r="C2" s="512" t="s">
        <v>179</v>
      </c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 t="s">
        <v>180</v>
      </c>
      <c r="S2" s="512"/>
      <c r="T2" s="512"/>
      <c r="U2" s="512"/>
      <c r="V2" s="512"/>
      <c r="W2" s="512"/>
      <c r="X2" s="512"/>
      <c r="Y2" s="512"/>
      <c r="Z2" s="512"/>
      <c r="AA2" s="512"/>
      <c r="AB2" s="512"/>
      <c r="AC2" s="512"/>
      <c r="AD2" s="512"/>
      <c r="AE2" s="512"/>
      <c r="AF2" s="512"/>
      <c r="AG2" s="512" t="s">
        <v>181</v>
      </c>
      <c r="AH2" s="512"/>
      <c r="AI2" s="512"/>
      <c r="AJ2" s="512"/>
      <c r="AK2" s="512"/>
      <c r="AL2" s="512"/>
      <c r="AM2" s="512"/>
      <c r="AN2" s="512"/>
      <c r="AO2" s="512"/>
      <c r="AP2" s="512"/>
      <c r="AQ2" s="512"/>
      <c r="AR2" s="512"/>
      <c r="AS2" s="512"/>
      <c r="AT2" s="512"/>
      <c r="AU2" s="512"/>
      <c r="AV2" s="512" t="s">
        <v>182</v>
      </c>
      <c r="AW2" s="512"/>
      <c r="AX2" s="512"/>
      <c r="AY2" s="512"/>
      <c r="AZ2" s="512"/>
      <c r="BA2" s="512"/>
      <c r="BB2" s="512"/>
      <c r="BC2" s="512"/>
      <c r="BD2" s="512"/>
      <c r="BE2" s="512"/>
      <c r="BF2" s="512"/>
      <c r="BG2" s="512"/>
      <c r="BH2" s="512"/>
      <c r="BI2" s="512"/>
      <c r="BJ2" s="512"/>
      <c r="BK2" s="512" t="s">
        <v>183</v>
      </c>
      <c r="BL2" s="512"/>
      <c r="BM2" s="512"/>
      <c r="BN2" s="512"/>
      <c r="BO2" s="512"/>
      <c r="BP2" s="512"/>
      <c r="BQ2" s="512"/>
      <c r="BR2" s="512"/>
      <c r="BS2" s="512"/>
      <c r="BT2" s="512"/>
      <c r="BU2" s="512"/>
      <c r="BV2" s="512"/>
      <c r="BW2" s="512"/>
      <c r="BX2" s="512"/>
      <c r="BY2" s="512"/>
      <c r="BZ2" s="512" t="s">
        <v>184</v>
      </c>
      <c r="CA2" s="512"/>
      <c r="CB2" s="512"/>
      <c r="CC2" s="512"/>
      <c r="CD2" s="512"/>
      <c r="CE2" s="512"/>
      <c r="CF2" s="512"/>
      <c r="CG2" s="512"/>
      <c r="CH2" s="512"/>
      <c r="CI2" s="512"/>
      <c r="CJ2" s="512"/>
      <c r="CK2" s="512"/>
      <c r="CL2" s="512"/>
      <c r="CM2" s="512"/>
      <c r="CN2" s="512"/>
      <c r="CO2" s="512" t="s">
        <v>185</v>
      </c>
      <c r="CP2" s="512"/>
      <c r="CQ2" s="512"/>
      <c r="CR2" s="512"/>
      <c r="CS2" s="512"/>
      <c r="CT2" s="512"/>
      <c r="CU2" s="512"/>
      <c r="CV2" s="512"/>
      <c r="CW2" s="512"/>
      <c r="CX2" s="512"/>
      <c r="CY2" s="512"/>
      <c r="CZ2" s="512"/>
      <c r="DA2" s="512"/>
      <c r="DB2" s="512"/>
      <c r="DC2" s="512"/>
      <c r="DD2" s="513" t="s">
        <v>186</v>
      </c>
      <c r="DE2" s="513"/>
      <c r="DF2" s="513"/>
      <c r="DG2" s="513"/>
      <c r="DH2" s="513"/>
      <c r="DI2" s="513"/>
      <c r="DJ2" s="513"/>
      <c r="DK2" s="513"/>
      <c r="DL2" s="513"/>
      <c r="DM2" s="513"/>
      <c r="DN2" s="513"/>
      <c r="DO2" s="513"/>
      <c r="DP2" s="513"/>
      <c r="DQ2" s="513"/>
      <c r="DR2" s="513"/>
      <c r="DS2" s="512" t="s">
        <v>187</v>
      </c>
      <c r="DT2" s="512"/>
      <c r="DU2" s="512"/>
      <c r="DV2" s="512"/>
      <c r="DW2" s="512"/>
      <c r="DX2" s="512"/>
      <c r="DY2" s="512"/>
      <c r="DZ2" s="512"/>
      <c r="EA2" s="512"/>
      <c r="EB2" s="512"/>
      <c r="EC2" s="512"/>
      <c r="ED2" s="512"/>
      <c r="EE2" s="512"/>
      <c r="EF2" s="512"/>
      <c r="EG2" s="512"/>
      <c r="EH2" s="128" t="s">
        <v>209</v>
      </c>
      <c r="EI2" s="128"/>
      <c r="EJ2" s="128"/>
      <c r="EK2" s="128"/>
      <c r="EL2" s="128"/>
      <c r="EM2" s="128"/>
      <c r="EN2" s="128"/>
      <c r="EO2" s="128"/>
      <c r="EP2" s="128"/>
      <c r="EQ2" s="512" t="s">
        <v>210</v>
      </c>
      <c r="ER2" s="512"/>
      <c r="ES2" s="512"/>
      <c r="ET2" s="512"/>
      <c r="EU2" s="512"/>
      <c r="EV2" s="512"/>
      <c r="EW2" s="512"/>
      <c r="EX2" s="512"/>
      <c r="EY2" s="512"/>
      <c r="EZ2" s="512" t="s">
        <v>211</v>
      </c>
      <c r="FA2" s="512"/>
      <c r="FB2" s="512"/>
      <c r="FC2" s="512"/>
      <c r="FD2" s="512"/>
      <c r="FE2" s="512"/>
      <c r="FF2" s="512"/>
      <c r="FG2" s="512"/>
      <c r="FH2" s="512"/>
    </row>
    <row r="3" spans="1:182" x14ac:dyDescent="0.25">
      <c r="A3" s="484" t="s">
        <v>192</v>
      </c>
      <c r="B3" s="503" t="s">
        <v>42</v>
      </c>
      <c r="C3" s="482" t="s">
        <v>188</v>
      </c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508" t="s">
        <v>189</v>
      </c>
      <c r="P3" s="508"/>
      <c r="Q3" s="508"/>
      <c r="R3" s="482" t="s">
        <v>188</v>
      </c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508" t="s">
        <v>189</v>
      </c>
      <c r="AE3" s="508"/>
      <c r="AF3" s="508"/>
      <c r="AG3" s="482" t="s">
        <v>188</v>
      </c>
      <c r="AH3" s="482"/>
      <c r="AI3" s="482"/>
      <c r="AJ3" s="482"/>
      <c r="AK3" s="482"/>
      <c r="AL3" s="482"/>
      <c r="AM3" s="482"/>
      <c r="AN3" s="482"/>
      <c r="AO3" s="482"/>
      <c r="AP3" s="482"/>
      <c r="AQ3" s="482"/>
      <c r="AR3" s="482"/>
      <c r="AS3" s="508" t="s">
        <v>189</v>
      </c>
      <c r="AT3" s="508"/>
      <c r="AU3" s="508"/>
      <c r="AV3" s="482" t="s">
        <v>188</v>
      </c>
      <c r="AW3" s="482"/>
      <c r="AX3" s="482"/>
      <c r="AY3" s="482"/>
      <c r="AZ3" s="482"/>
      <c r="BA3" s="482"/>
      <c r="BB3" s="482"/>
      <c r="BC3" s="482"/>
      <c r="BD3" s="482"/>
      <c r="BE3" s="482"/>
      <c r="BF3" s="482"/>
      <c r="BG3" s="482"/>
      <c r="BH3" s="508" t="s">
        <v>189</v>
      </c>
      <c r="BI3" s="508"/>
      <c r="BJ3" s="508"/>
      <c r="BK3" s="482" t="s">
        <v>188</v>
      </c>
      <c r="BL3" s="482"/>
      <c r="BM3" s="482"/>
      <c r="BN3" s="482"/>
      <c r="BO3" s="482"/>
      <c r="BP3" s="482"/>
      <c r="BQ3" s="482"/>
      <c r="BR3" s="482"/>
      <c r="BS3" s="482"/>
      <c r="BT3" s="482"/>
      <c r="BU3" s="482"/>
      <c r="BV3" s="482"/>
      <c r="BW3" s="508" t="s">
        <v>189</v>
      </c>
      <c r="BX3" s="508"/>
      <c r="BY3" s="508"/>
      <c r="BZ3" s="482" t="s">
        <v>188</v>
      </c>
      <c r="CA3" s="482"/>
      <c r="CB3" s="482"/>
      <c r="CC3" s="482"/>
      <c r="CD3" s="482"/>
      <c r="CE3" s="482"/>
      <c r="CF3" s="482"/>
      <c r="CG3" s="482"/>
      <c r="CH3" s="482"/>
      <c r="CI3" s="482"/>
      <c r="CJ3" s="482"/>
      <c r="CK3" s="482"/>
      <c r="CL3" s="508" t="s">
        <v>189</v>
      </c>
      <c r="CM3" s="508"/>
      <c r="CN3" s="508"/>
      <c r="CO3" s="482" t="s">
        <v>188</v>
      </c>
      <c r="CP3" s="482"/>
      <c r="CQ3" s="482"/>
      <c r="CR3" s="482"/>
      <c r="CS3" s="482"/>
      <c r="CT3" s="482"/>
      <c r="CU3" s="482"/>
      <c r="CV3" s="482"/>
      <c r="CW3" s="482"/>
      <c r="CX3" s="482"/>
      <c r="CY3" s="482"/>
      <c r="CZ3" s="482"/>
      <c r="DA3" s="508" t="s">
        <v>189</v>
      </c>
      <c r="DB3" s="508"/>
      <c r="DC3" s="508"/>
      <c r="DD3" s="482" t="s">
        <v>188</v>
      </c>
      <c r="DE3" s="482"/>
      <c r="DF3" s="482"/>
      <c r="DG3" s="482"/>
      <c r="DH3" s="482"/>
      <c r="DI3" s="482"/>
      <c r="DJ3" s="482"/>
      <c r="DK3" s="482"/>
      <c r="DL3" s="482"/>
      <c r="DM3" s="482"/>
      <c r="DN3" s="482"/>
      <c r="DO3" s="482"/>
      <c r="DP3" s="508" t="s">
        <v>189</v>
      </c>
      <c r="DQ3" s="508"/>
      <c r="DR3" s="508"/>
      <c r="DS3" s="482" t="s">
        <v>188</v>
      </c>
      <c r="DT3" s="482"/>
      <c r="DU3" s="482"/>
      <c r="DV3" s="482"/>
      <c r="DW3" s="482"/>
      <c r="DX3" s="482"/>
      <c r="DY3" s="482"/>
      <c r="DZ3" s="482"/>
      <c r="EA3" s="482"/>
      <c r="EB3" s="482"/>
      <c r="EC3" s="482"/>
      <c r="ED3" s="482"/>
      <c r="EE3" s="508" t="s">
        <v>189</v>
      </c>
      <c r="EF3" s="508"/>
      <c r="EG3" s="508"/>
      <c r="EH3" s="514" t="s">
        <v>193</v>
      </c>
      <c r="EI3" s="514"/>
      <c r="EJ3" s="514"/>
      <c r="EK3" s="514" t="s">
        <v>194</v>
      </c>
      <c r="EL3" s="514"/>
      <c r="EM3" s="514"/>
      <c r="EN3" s="514" t="s">
        <v>195</v>
      </c>
      <c r="EO3" s="514"/>
      <c r="EP3" s="514"/>
      <c r="EQ3" s="514" t="s">
        <v>193</v>
      </c>
      <c r="ER3" s="514"/>
      <c r="ES3" s="514"/>
      <c r="ET3" s="514" t="s">
        <v>194</v>
      </c>
      <c r="EU3" s="514"/>
      <c r="EV3" s="514"/>
      <c r="EW3" s="514" t="s">
        <v>195</v>
      </c>
      <c r="EX3" s="514"/>
      <c r="EY3" s="514"/>
      <c r="EZ3" s="514" t="s">
        <v>193</v>
      </c>
      <c r="FA3" s="514"/>
      <c r="FB3" s="514"/>
      <c r="FC3" s="514" t="s">
        <v>194</v>
      </c>
      <c r="FD3" s="514"/>
      <c r="FE3" s="514"/>
      <c r="FF3" s="514" t="s">
        <v>195</v>
      </c>
      <c r="FG3" s="514"/>
      <c r="FH3" s="514"/>
    </row>
    <row r="4" spans="1:182" x14ac:dyDescent="0.25">
      <c r="A4" s="484"/>
      <c r="B4" s="503"/>
      <c r="C4" s="482" t="s">
        <v>5</v>
      </c>
      <c r="D4" s="482"/>
      <c r="E4" s="482"/>
      <c r="F4" s="482" t="s">
        <v>6</v>
      </c>
      <c r="G4" s="482"/>
      <c r="H4" s="482"/>
      <c r="I4" s="482"/>
      <c r="J4" s="482"/>
      <c r="K4" s="482"/>
      <c r="L4" s="482"/>
      <c r="M4" s="482"/>
      <c r="N4" s="482"/>
      <c r="O4" s="508"/>
      <c r="P4" s="508"/>
      <c r="Q4" s="508"/>
      <c r="R4" s="482" t="s">
        <v>5</v>
      </c>
      <c r="S4" s="482"/>
      <c r="T4" s="482"/>
      <c r="U4" s="482" t="s">
        <v>6</v>
      </c>
      <c r="V4" s="482"/>
      <c r="W4" s="482"/>
      <c r="X4" s="482"/>
      <c r="Y4" s="482"/>
      <c r="Z4" s="482"/>
      <c r="AA4" s="482"/>
      <c r="AB4" s="482"/>
      <c r="AC4" s="482"/>
      <c r="AD4" s="508"/>
      <c r="AE4" s="508"/>
      <c r="AF4" s="508"/>
      <c r="AG4" s="482" t="s">
        <v>5</v>
      </c>
      <c r="AH4" s="482"/>
      <c r="AI4" s="482"/>
      <c r="AJ4" s="482" t="s">
        <v>6</v>
      </c>
      <c r="AK4" s="482"/>
      <c r="AL4" s="482"/>
      <c r="AM4" s="482"/>
      <c r="AN4" s="482"/>
      <c r="AO4" s="482"/>
      <c r="AP4" s="482"/>
      <c r="AQ4" s="482"/>
      <c r="AR4" s="482"/>
      <c r="AS4" s="508"/>
      <c r="AT4" s="508"/>
      <c r="AU4" s="508"/>
      <c r="AV4" s="482" t="s">
        <v>5</v>
      </c>
      <c r="AW4" s="482"/>
      <c r="AX4" s="482"/>
      <c r="AY4" s="482" t="s">
        <v>6</v>
      </c>
      <c r="AZ4" s="482"/>
      <c r="BA4" s="482"/>
      <c r="BB4" s="482"/>
      <c r="BC4" s="482"/>
      <c r="BD4" s="482"/>
      <c r="BE4" s="482"/>
      <c r="BF4" s="482"/>
      <c r="BG4" s="482"/>
      <c r="BH4" s="508"/>
      <c r="BI4" s="508"/>
      <c r="BJ4" s="508"/>
      <c r="BK4" s="482" t="s">
        <v>5</v>
      </c>
      <c r="BL4" s="482"/>
      <c r="BM4" s="482"/>
      <c r="BN4" s="482" t="s">
        <v>6</v>
      </c>
      <c r="BO4" s="482"/>
      <c r="BP4" s="482"/>
      <c r="BQ4" s="482"/>
      <c r="BR4" s="482"/>
      <c r="BS4" s="482"/>
      <c r="BT4" s="482"/>
      <c r="BU4" s="482"/>
      <c r="BV4" s="482"/>
      <c r="BW4" s="508"/>
      <c r="BX4" s="508"/>
      <c r="BY4" s="508"/>
      <c r="BZ4" s="482" t="s">
        <v>5</v>
      </c>
      <c r="CA4" s="482"/>
      <c r="CB4" s="482"/>
      <c r="CC4" s="482" t="s">
        <v>6</v>
      </c>
      <c r="CD4" s="482"/>
      <c r="CE4" s="482"/>
      <c r="CF4" s="482"/>
      <c r="CG4" s="482"/>
      <c r="CH4" s="482"/>
      <c r="CI4" s="482"/>
      <c r="CJ4" s="482"/>
      <c r="CK4" s="482"/>
      <c r="CL4" s="508"/>
      <c r="CM4" s="508"/>
      <c r="CN4" s="508"/>
      <c r="CO4" s="482" t="s">
        <v>5</v>
      </c>
      <c r="CP4" s="482"/>
      <c r="CQ4" s="482"/>
      <c r="CR4" s="482" t="s">
        <v>6</v>
      </c>
      <c r="CS4" s="482"/>
      <c r="CT4" s="482"/>
      <c r="CU4" s="482"/>
      <c r="CV4" s="482"/>
      <c r="CW4" s="482"/>
      <c r="CX4" s="482"/>
      <c r="CY4" s="482"/>
      <c r="CZ4" s="482"/>
      <c r="DA4" s="508"/>
      <c r="DB4" s="508"/>
      <c r="DC4" s="508"/>
      <c r="DD4" s="482" t="s">
        <v>5</v>
      </c>
      <c r="DE4" s="482"/>
      <c r="DF4" s="482"/>
      <c r="DG4" s="482" t="s">
        <v>6</v>
      </c>
      <c r="DH4" s="482"/>
      <c r="DI4" s="482"/>
      <c r="DJ4" s="482"/>
      <c r="DK4" s="482"/>
      <c r="DL4" s="482"/>
      <c r="DM4" s="482"/>
      <c r="DN4" s="482"/>
      <c r="DO4" s="482"/>
      <c r="DP4" s="508"/>
      <c r="DQ4" s="508"/>
      <c r="DR4" s="508"/>
      <c r="DS4" s="482" t="s">
        <v>5</v>
      </c>
      <c r="DT4" s="482"/>
      <c r="DU4" s="482"/>
      <c r="DV4" s="482" t="s">
        <v>6</v>
      </c>
      <c r="DW4" s="482"/>
      <c r="DX4" s="482"/>
      <c r="DY4" s="482"/>
      <c r="DZ4" s="482"/>
      <c r="EA4" s="482"/>
      <c r="EB4" s="482"/>
      <c r="EC4" s="482"/>
      <c r="ED4" s="482"/>
      <c r="EE4" s="508"/>
      <c r="EF4" s="508"/>
      <c r="EG4" s="508"/>
      <c r="EH4" s="514"/>
      <c r="EI4" s="514"/>
      <c r="EJ4" s="514"/>
      <c r="EK4" s="514"/>
      <c r="EL4" s="514"/>
      <c r="EM4" s="514"/>
      <c r="EN4" s="514"/>
      <c r="EO4" s="514"/>
      <c r="EP4" s="514"/>
      <c r="EQ4" s="514"/>
      <c r="ER4" s="514"/>
      <c r="ES4" s="514"/>
      <c r="ET4" s="514"/>
      <c r="EU4" s="514"/>
      <c r="EV4" s="514"/>
      <c r="EW4" s="514"/>
      <c r="EX4" s="514"/>
      <c r="EY4" s="514"/>
      <c r="EZ4" s="514"/>
      <c r="FA4" s="514"/>
      <c r="FB4" s="514"/>
      <c r="FC4" s="514"/>
      <c r="FD4" s="514"/>
      <c r="FE4" s="514"/>
      <c r="FF4" s="514"/>
      <c r="FG4" s="514"/>
      <c r="FH4" s="514"/>
    </row>
    <row r="5" spans="1:182" ht="15" customHeight="1" x14ac:dyDescent="0.25">
      <c r="A5" s="484"/>
      <c r="B5" s="503"/>
      <c r="C5" s="482"/>
      <c r="D5" s="482"/>
      <c r="E5" s="482"/>
      <c r="F5" s="482" t="s">
        <v>51</v>
      </c>
      <c r="G5" s="482"/>
      <c r="H5" s="482"/>
      <c r="I5" s="482" t="s">
        <v>190</v>
      </c>
      <c r="J5" s="482"/>
      <c r="K5" s="482"/>
      <c r="L5" s="482" t="s">
        <v>191</v>
      </c>
      <c r="M5" s="482"/>
      <c r="N5" s="482"/>
      <c r="O5" s="508"/>
      <c r="P5" s="508"/>
      <c r="Q5" s="508"/>
      <c r="R5" s="482"/>
      <c r="S5" s="482"/>
      <c r="T5" s="482"/>
      <c r="U5" s="482" t="s">
        <v>51</v>
      </c>
      <c r="V5" s="482"/>
      <c r="W5" s="482"/>
      <c r="X5" s="482" t="s">
        <v>190</v>
      </c>
      <c r="Y5" s="482"/>
      <c r="Z5" s="482"/>
      <c r="AA5" s="482" t="s">
        <v>191</v>
      </c>
      <c r="AB5" s="482"/>
      <c r="AC5" s="482"/>
      <c r="AD5" s="508"/>
      <c r="AE5" s="508"/>
      <c r="AF5" s="508"/>
      <c r="AG5" s="482"/>
      <c r="AH5" s="482"/>
      <c r="AI5" s="482"/>
      <c r="AJ5" s="482" t="s">
        <v>51</v>
      </c>
      <c r="AK5" s="482"/>
      <c r="AL5" s="482"/>
      <c r="AM5" s="482" t="s">
        <v>190</v>
      </c>
      <c r="AN5" s="482"/>
      <c r="AO5" s="482"/>
      <c r="AP5" s="482" t="s">
        <v>191</v>
      </c>
      <c r="AQ5" s="482"/>
      <c r="AR5" s="482"/>
      <c r="AS5" s="508"/>
      <c r="AT5" s="508"/>
      <c r="AU5" s="508"/>
      <c r="AV5" s="482"/>
      <c r="AW5" s="482"/>
      <c r="AX5" s="482"/>
      <c r="AY5" s="482" t="s">
        <v>51</v>
      </c>
      <c r="AZ5" s="482"/>
      <c r="BA5" s="482"/>
      <c r="BB5" s="482" t="s">
        <v>190</v>
      </c>
      <c r="BC5" s="482"/>
      <c r="BD5" s="482"/>
      <c r="BE5" s="482" t="s">
        <v>191</v>
      </c>
      <c r="BF5" s="482"/>
      <c r="BG5" s="482"/>
      <c r="BH5" s="508"/>
      <c r="BI5" s="508"/>
      <c r="BJ5" s="508"/>
      <c r="BK5" s="482"/>
      <c r="BL5" s="482"/>
      <c r="BM5" s="482"/>
      <c r="BN5" s="482" t="s">
        <v>51</v>
      </c>
      <c r="BO5" s="482"/>
      <c r="BP5" s="482"/>
      <c r="BQ5" s="482" t="s">
        <v>190</v>
      </c>
      <c r="BR5" s="482"/>
      <c r="BS5" s="482"/>
      <c r="BT5" s="482" t="s">
        <v>191</v>
      </c>
      <c r="BU5" s="482"/>
      <c r="BV5" s="482"/>
      <c r="BW5" s="508"/>
      <c r="BX5" s="508"/>
      <c r="BY5" s="508"/>
      <c r="BZ5" s="482"/>
      <c r="CA5" s="482"/>
      <c r="CB5" s="482"/>
      <c r="CC5" s="482" t="s">
        <v>51</v>
      </c>
      <c r="CD5" s="482"/>
      <c r="CE5" s="482"/>
      <c r="CF5" s="482" t="s">
        <v>190</v>
      </c>
      <c r="CG5" s="482"/>
      <c r="CH5" s="482"/>
      <c r="CI5" s="482" t="s">
        <v>191</v>
      </c>
      <c r="CJ5" s="482"/>
      <c r="CK5" s="482"/>
      <c r="CL5" s="508"/>
      <c r="CM5" s="508"/>
      <c r="CN5" s="508"/>
      <c r="CO5" s="482"/>
      <c r="CP5" s="482"/>
      <c r="CQ5" s="482"/>
      <c r="CR5" s="482" t="s">
        <v>51</v>
      </c>
      <c r="CS5" s="482"/>
      <c r="CT5" s="482"/>
      <c r="CU5" s="482" t="s">
        <v>190</v>
      </c>
      <c r="CV5" s="482"/>
      <c r="CW5" s="482"/>
      <c r="CX5" s="482" t="s">
        <v>191</v>
      </c>
      <c r="CY5" s="482"/>
      <c r="CZ5" s="482"/>
      <c r="DA5" s="508"/>
      <c r="DB5" s="508"/>
      <c r="DC5" s="508"/>
      <c r="DD5" s="482"/>
      <c r="DE5" s="482"/>
      <c r="DF5" s="482"/>
      <c r="DG5" s="482" t="s">
        <v>51</v>
      </c>
      <c r="DH5" s="482"/>
      <c r="DI5" s="482"/>
      <c r="DJ5" s="482" t="s">
        <v>190</v>
      </c>
      <c r="DK5" s="482"/>
      <c r="DL5" s="482"/>
      <c r="DM5" s="482" t="s">
        <v>191</v>
      </c>
      <c r="DN5" s="482"/>
      <c r="DO5" s="482"/>
      <c r="DP5" s="508"/>
      <c r="DQ5" s="508"/>
      <c r="DR5" s="508"/>
      <c r="DS5" s="482"/>
      <c r="DT5" s="482"/>
      <c r="DU5" s="482"/>
      <c r="DV5" s="482" t="s">
        <v>51</v>
      </c>
      <c r="DW5" s="482"/>
      <c r="DX5" s="482"/>
      <c r="DY5" s="482" t="s">
        <v>190</v>
      </c>
      <c r="DZ5" s="482"/>
      <c r="EA5" s="482"/>
      <c r="EB5" s="482" t="s">
        <v>191</v>
      </c>
      <c r="EC5" s="482"/>
      <c r="ED5" s="482"/>
      <c r="EE5" s="508"/>
      <c r="EF5" s="508"/>
      <c r="EG5" s="508"/>
      <c r="EH5" s="514"/>
      <c r="EI5" s="514"/>
      <c r="EJ5" s="514"/>
      <c r="EK5" s="514" t="s">
        <v>196</v>
      </c>
      <c r="EL5" s="514"/>
      <c r="EM5" s="514"/>
      <c r="EN5" s="514" t="s">
        <v>196</v>
      </c>
      <c r="EO5" s="514"/>
      <c r="EP5" s="514"/>
      <c r="EQ5" s="514"/>
      <c r="ER5" s="514"/>
      <c r="ES5" s="514"/>
      <c r="ET5" s="514" t="s">
        <v>196</v>
      </c>
      <c r="EU5" s="514"/>
      <c r="EV5" s="514"/>
      <c r="EW5" s="514" t="s">
        <v>196</v>
      </c>
      <c r="EX5" s="514"/>
      <c r="EY5" s="514"/>
      <c r="EZ5" s="514"/>
      <c r="FA5" s="514"/>
      <c r="FB5" s="514"/>
      <c r="FC5" s="514" t="s">
        <v>196</v>
      </c>
      <c r="FD5" s="514"/>
      <c r="FE5" s="514"/>
      <c r="FF5" s="514" t="s">
        <v>196</v>
      </c>
      <c r="FG5" s="514"/>
      <c r="FH5" s="514"/>
    </row>
    <row r="6" spans="1:182" x14ac:dyDescent="0.25">
      <c r="A6" s="484"/>
      <c r="B6" s="503"/>
      <c r="C6" s="126" t="s">
        <v>43</v>
      </c>
      <c r="D6" s="126" t="s">
        <v>44</v>
      </c>
      <c r="E6" s="126" t="s">
        <v>3</v>
      </c>
      <c r="F6" s="126" t="s">
        <v>43</v>
      </c>
      <c r="G6" s="126" t="s">
        <v>44</v>
      </c>
      <c r="H6" s="126" t="s">
        <v>3</v>
      </c>
      <c r="I6" s="126" t="s">
        <v>43</v>
      </c>
      <c r="J6" s="126" t="s">
        <v>44</v>
      </c>
      <c r="K6" s="126" t="s">
        <v>3</v>
      </c>
      <c r="L6" s="126" t="s">
        <v>43</v>
      </c>
      <c r="M6" s="126" t="s">
        <v>44</v>
      </c>
      <c r="N6" s="126" t="s">
        <v>3</v>
      </c>
      <c r="O6" s="127" t="s">
        <v>43</v>
      </c>
      <c r="P6" s="127" t="s">
        <v>44</v>
      </c>
      <c r="Q6" s="127" t="s">
        <v>3</v>
      </c>
      <c r="R6" s="126" t="s">
        <v>43</v>
      </c>
      <c r="S6" s="126" t="s">
        <v>44</v>
      </c>
      <c r="T6" s="126" t="s">
        <v>3</v>
      </c>
      <c r="U6" s="126" t="s">
        <v>43</v>
      </c>
      <c r="V6" s="126" t="s">
        <v>44</v>
      </c>
      <c r="W6" s="126" t="s">
        <v>3</v>
      </c>
      <c r="X6" s="126" t="s">
        <v>43</v>
      </c>
      <c r="Y6" s="126" t="s">
        <v>44</v>
      </c>
      <c r="Z6" s="126" t="s">
        <v>3</v>
      </c>
      <c r="AA6" s="126" t="s">
        <v>43</v>
      </c>
      <c r="AB6" s="126" t="s">
        <v>44</v>
      </c>
      <c r="AC6" s="126" t="s">
        <v>3</v>
      </c>
      <c r="AD6" s="127" t="s">
        <v>43</v>
      </c>
      <c r="AE6" s="127" t="s">
        <v>44</v>
      </c>
      <c r="AF6" s="127" t="s">
        <v>3</v>
      </c>
      <c r="AG6" s="126" t="s">
        <v>43</v>
      </c>
      <c r="AH6" s="126" t="s">
        <v>44</v>
      </c>
      <c r="AI6" s="126" t="s">
        <v>3</v>
      </c>
      <c r="AJ6" s="126" t="s">
        <v>43</v>
      </c>
      <c r="AK6" s="126" t="s">
        <v>44</v>
      </c>
      <c r="AL6" s="126" t="s">
        <v>3</v>
      </c>
      <c r="AM6" s="126" t="s">
        <v>43</v>
      </c>
      <c r="AN6" s="126" t="s">
        <v>44</v>
      </c>
      <c r="AO6" s="126" t="s">
        <v>3</v>
      </c>
      <c r="AP6" s="126" t="s">
        <v>43</v>
      </c>
      <c r="AQ6" s="126" t="s">
        <v>44</v>
      </c>
      <c r="AR6" s="126" t="s">
        <v>3</v>
      </c>
      <c r="AS6" s="127" t="s">
        <v>43</v>
      </c>
      <c r="AT6" s="127" t="s">
        <v>44</v>
      </c>
      <c r="AU6" s="127" t="s">
        <v>3</v>
      </c>
      <c r="AV6" s="126" t="s">
        <v>43</v>
      </c>
      <c r="AW6" s="126" t="s">
        <v>44</v>
      </c>
      <c r="AX6" s="126" t="s">
        <v>3</v>
      </c>
      <c r="AY6" s="126" t="s">
        <v>43</v>
      </c>
      <c r="AZ6" s="126" t="s">
        <v>44</v>
      </c>
      <c r="BA6" s="126" t="s">
        <v>3</v>
      </c>
      <c r="BB6" s="126" t="s">
        <v>43</v>
      </c>
      <c r="BC6" s="126" t="s">
        <v>44</v>
      </c>
      <c r="BD6" s="126" t="s">
        <v>3</v>
      </c>
      <c r="BE6" s="126" t="s">
        <v>43</v>
      </c>
      <c r="BF6" s="126" t="s">
        <v>44</v>
      </c>
      <c r="BG6" s="126" t="s">
        <v>3</v>
      </c>
      <c r="BH6" s="127" t="s">
        <v>43</v>
      </c>
      <c r="BI6" s="127" t="s">
        <v>44</v>
      </c>
      <c r="BJ6" s="127" t="s">
        <v>3</v>
      </c>
      <c r="BK6" s="126" t="s">
        <v>43</v>
      </c>
      <c r="BL6" s="126" t="s">
        <v>44</v>
      </c>
      <c r="BM6" s="126" t="s">
        <v>3</v>
      </c>
      <c r="BN6" s="126" t="s">
        <v>43</v>
      </c>
      <c r="BO6" s="126" t="s">
        <v>44</v>
      </c>
      <c r="BP6" s="126" t="s">
        <v>3</v>
      </c>
      <c r="BQ6" s="126" t="s">
        <v>43</v>
      </c>
      <c r="BR6" s="126" t="s">
        <v>44</v>
      </c>
      <c r="BS6" s="126" t="s">
        <v>3</v>
      </c>
      <c r="BT6" s="126" t="s">
        <v>43</v>
      </c>
      <c r="BU6" s="126" t="s">
        <v>44</v>
      </c>
      <c r="BV6" s="126" t="s">
        <v>3</v>
      </c>
      <c r="BW6" s="127" t="s">
        <v>43</v>
      </c>
      <c r="BX6" s="127" t="s">
        <v>44</v>
      </c>
      <c r="BY6" s="127" t="s">
        <v>3</v>
      </c>
      <c r="BZ6" s="126" t="s">
        <v>43</v>
      </c>
      <c r="CA6" s="126" t="s">
        <v>44</v>
      </c>
      <c r="CB6" s="126" t="s">
        <v>3</v>
      </c>
      <c r="CC6" s="126" t="s">
        <v>43</v>
      </c>
      <c r="CD6" s="126" t="s">
        <v>44</v>
      </c>
      <c r="CE6" s="126" t="s">
        <v>3</v>
      </c>
      <c r="CF6" s="126" t="s">
        <v>43</v>
      </c>
      <c r="CG6" s="126" t="s">
        <v>44</v>
      </c>
      <c r="CH6" s="126" t="s">
        <v>3</v>
      </c>
      <c r="CI6" s="126" t="s">
        <v>43</v>
      </c>
      <c r="CJ6" s="126" t="s">
        <v>44</v>
      </c>
      <c r="CK6" s="126" t="s">
        <v>3</v>
      </c>
      <c r="CL6" s="127" t="s">
        <v>43</v>
      </c>
      <c r="CM6" s="127" t="s">
        <v>44</v>
      </c>
      <c r="CN6" s="127" t="s">
        <v>3</v>
      </c>
      <c r="CO6" s="126" t="s">
        <v>43</v>
      </c>
      <c r="CP6" s="126" t="s">
        <v>44</v>
      </c>
      <c r="CQ6" s="126" t="s">
        <v>3</v>
      </c>
      <c r="CR6" s="126" t="s">
        <v>43</v>
      </c>
      <c r="CS6" s="126" t="s">
        <v>44</v>
      </c>
      <c r="CT6" s="126" t="s">
        <v>3</v>
      </c>
      <c r="CU6" s="126" t="s">
        <v>43</v>
      </c>
      <c r="CV6" s="126" t="s">
        <v>44</v>
      </c>
      <c r="CW6" s="126" t="s">
        <v>3</v>
      </c>
      <c r="CX6" s="126" t="s">
        <v>43</v>
      </c>
      <c r="CY6" s="126" t="s">
        <v>44</v>
      </c>
      <c r="CZ6" s="126" t="s">
        <v>3</v>
      </c>
      <c r="DA6" s="127" t="s">
        <v>43</v>
      </c>
      <c r="DB6" s="127" t="s">
        <v>44</v>
      </c>
      <c r="DC6" s="127" t="s">
        <v>3</v>
      </c>
      <c r="DD6" s="126" t="s">
        <v>43</v>
      </c>
      <c r="DE6" s="126" t="s">
        <v>44</v>
      </c>
      <c r="DF6" s="126" t="s">
        <v>3</v>
      </c>
      <c r="DG6" s="126" t="s">
        <v>43</v>
      </c>
      <c r="DH6" s="126" t="s">
        <v>44</v>
      </c>
      <c r="DI6" s="126" t="s">
        <v>3</v>
      </c>
      <c r="DJ6" s="126" t="s">
        <v>43</v>
      </c>
      <c r="DK6" s="126" t="s">
        <v>44</v>
      </c>
      <c r="DL6" s="126" t="s">
        <v>3</v>
      </c>
      <c r="DM6" s="126" t="s">
        <v>43</v>
      </c>
      <c r="DN6" s="126" t="s">
        <v>44</v>
      </c>
      <c r="DO6" s="126" t="s">
        <v>3</v>
      </c>
      <c r="DP6" s="127" t="s">
        <v>43</v>
      </c>
      <c r="DQ6" s="127" t="s">
        <v>44</v>
      </c>
      <c r="DR6" s="127" t="s">
        <v>3</v>
      </c>
      <c r="DS6" s="126" t="s">
        <v>43</v>
      </c>
      <c r="DT6" s="126" t="s">
        <v>44</v>
      </c>
      <c r="DU6" s="126" t="s">
        <v>3</v>
      </c>
      <c r="DV6" s="126" t="s">
        <v>43</v>
      </c>
      <c r="DW6" s="126" t="s">
        <v>44</v>
      </c>
      <c r="DX6" s="126" t="s">
        <v>3</v>
      </c>
      <c r="DY6" s="126" t="s">
        <v>43</v>
      </c>
      <c r="DZ6" s="126" t="s">
        <v>44</v>
      </c>
      <c r="EA6" s="126" t="s">
        <v>3</v>
      </c>
      <c r="EB6" s="126" t="s">
        <v>43</v>
      </c>
      <c r="EC6" s="126" t="s">
        <v>44</v>
      </c>
      <c r="ED6" s="126" t="s">
        <v>3</v>
      </c>
      <c r="EE6" s="127" t="s">
        <v>43</v>
      </c>
      <c r="EF6" s="127" t="s">
        <v>44</v>
      </c>
      <c r="EG6" s="127" t="s">
        <v>3</v>
      </c>
      <c r="EH6" s="126" t="s">
        <v>43</v>
      </c>
      <c r="EI6" s="126" t="s">
        <v>44</v>
      </c>
      <c r="EJ6" s="126" t="s">
        <v>3</v>
      </c>
      <c r="EK6" s="126" t="s">
        <v>43</v>
      </c>
      <c r="EL6" s="126" t="s">
        <v>44</v>
      </c>
      <c r="EM6" s="126" t="s">
        <v>3</v>
      </c>
      <c r="EN6" s="126" t="s">
        <v>43</v>
      </c>
      <c r="EO6" s="126" t="s">
        <v>44</v>
      </c>
      <c r="EP6" s="126" t="s">
        <v>3</v>
      </c>
      <c r="EQ6" s="126" t="s">
        <v>43</v>
      </c>
      <c r="ER6" s="126" t="s">
        <v>44</v>
      </c>
      <c r="ES6" s="126" t="s">
        <v>3</v>
      </c>
      <c r="ET6" s="126" t="s">
        <v>43</v>
      </c>
      <c r="EU6" s="126" t="s">
        <v>44</v>
      </c>
      <c r="EV6" s="126" t="s">
        <v>3</v>
      </c>
      <c r="EW6" s="126" t="s">
        <v>43</v>
      </c>
      <c r="EX6" s="126" t="s">
        <v>44</v>
      </c>
      <c r="EY6" s="126" t="s">
        <v>3</v>
      </c>
      <c r="EZ6" s="126" t="s">
        <v>43</v>
      </c>
      <c r="FA6" s="126" t="s">
        <v>44</v>
      </c>
      <c r="FB6" s="126" t="s">
        <v>3</v>
      </c>
      <c r="FC6" s="126" t="s">
        <v>43</v>
      </c>
      <c r="FD6" s="126" t="s">
        <v>44</v>
      </c>
      <c r="FE6" s="126" t="s">
        <v>3</v>
      </c>
      <c r="FF6" s="126" t="s">
        <v>43</v>
      </c>
      <c r="FG6" s="126" t="s">
        <v>44</v>
      </c>
      <c r="FH6" s="126" t="s">
        <v>3</v>
      </c>
    </row>
    <row r="7" spans="1:182" x14ac:dyDescent="0.25">
      <c r="A7" s="77">
        <v>1</v>
      </c>
      <c r="B7" s="102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115">
        <v>15</v>
      </c>
      <c r="P7" s="115">
        <v>16</v>
      </c>
      <c r="Q7" s="115">
        <v>17</v>
      </c>
      <c r="R7" s="77">
        <v>3</v>
      </c>
      <c r="S7" s="77">
        <v>4</v>
      </c>
      <c r="T7" s="77">
        <v>5</v>
      </c>
      <c r="U7" s="77">
        <v>6</v>
      </c>
      <c r="V7" s="77">
        <v>7</v>
      </c>
      <c r="W7" s="77">
        <v>8</v>
      </c>
      <c r="X7" s="77">
        <v>9</v>
      </c>
      <c r="Y7" s="77">
        <v>10</v>
      </c>
      <c r="Z7" s="77">
        <v>11</v>
      </c>
      <c r="AA7" s="77">
        <v>12</v>
      </c>
      <c r="AB7" s="77">
        <v>13</v>
      </c>
      <c r="AC7" s="77">
        <v>14</v>
      </c>
      <c r="AD7" s="115">
        <v>15</v>
      </c>
      <c r="AE7" s="115">
        <v>16</v>
      </c>
      <c r="AF7" s="115">
        <v>17</v>
      </c>
      <c r="AG7" s="77">
        <v>3</v>
      </c>
      <c r="AH7" s="77">
        <v>4</v>
      </c>
      <c r="AI7" s="77">
        <v>5</v>
      </c>
      <c r="AJ7" s="77">
        <v>6</v>
      </c>
      <c r="AK7" s="77">
        <v>7</v>
      </c>
      <c r="AL7" s="77">
        <v>8</v>
      </c>
      <c r="AM7" s="77">
        <v>9</v>
      </c>
      <c r="AN7" s="77">
        <v>10</v>
      </c>
      <c r="AO7" s="77">
        <v>11</v>
      </c>
      <c r="AP7" s="77">
        <v>12</v>
      </c>
      <c r="AQ7" s="77">
        <v>13</v>
      </c>
      <c r="AR7" s="77">
        <v>14</v>
      </c>
      <c r="AS7" s="115">
        <v>15</v>
      </c>
      <c r="AT7" s="115">
        <v>16</v>
      </c>
      <c r="AU7" s="115">
        <v>17</v>
      </c>
      <c r="AV7" s="77">
        <v>3</v>
      </c>
      <c r="AW7" s="77">
        <v>4</v>
      </c>
      <c r="AX7" s="77">
        <v>5</v>
      </c>
      <c r="AY7" s="77">
        <v>6</v>
      </c>
      <c r="AZ7" s="77">
        <v>7</v>
      </c>
      <c r="BA7" s="77">
        <v>8</v>
      </c>
      <c r="BB7" s="77">
        <v>9</v>
      </c>
      <c r="BC7" s="77">
        <v>10</v>
      </c>
      <c r="BD7" s="77">
        <v>11</v>
      </c>
      <c r="BE7" s="77">
        <v>12</v>
      </c>
      <c r="BF7" s="77">
        <v>13</v>
      </c>
      <c r="BG7" s="77">
        <v>14</v>
      </c>
      <c r="BH7" s="115">
        <v>15</v>
      </c>
      <c r="BI7" s="115">
        <v>16</v>
      </c>
      <c r="BJ7" s="115">
        <v>17</v>
      </c>
      <c r="BK7" s="77">
        <v>3</v>
      </c>
      <c r="BL7" s="77">
        <v>4</v>
      </c>
      <c r="BM7" s="77">
        <v>5</v>
      </c>
      <c r="BN7" s="77">
        <v>6</v>
      </c>
      <c r="BO7" s="77">
        <v>7</v>
      </c>
      <c r="BP7" s="77">
        <v>8</v>
      </c>
      <c r="BQ7" s="77">
        <v>9</v>
      </c>
      <c r="BR7" s="77">
        <v>10</v>
      </c>
      <c r="BS7" s="77">
        <v>11</v>
      </c>
      <c r="BT7" s="77">
        <v>12</v>
      </c>
      <c r="BU7" s="77">
        <v>13</v>
      </c>
      <c r="BV7" s="77">
        <v>14</v>
      </c>
      <c r="BW7" s="115">
        <v>15</v>
      </c>
      <c r="BX7" s="115">
        <v>16</v>
      </c>
      <c r="BY7" s="115">
        <v>17</v>
      </c>
      <c r="BZ7" s="77">
        <v>3</v>
      </c>
      <c r="CA7" s="77">
        <v>4</v>
      </c>
      <c r="CB7" s="77">
        <v>5</v>
      </c>
      <c r="CC7" s="77">
        <v>6</v>
      </c>
      <c r="CD7" s="77">
        <v>7</v>
      </c>
      <c r="CE7" s="77">
        <v>8</v>
      </c>
      <c r="CF7" s="77">
        <v>9</v>
      </c>
      <c r="CG7" s="77">
        <v>10</v>
      </c>
      <c r="CH7" s="77">
        <v>11</v>
      </c>
      <c r="CI7" s="77">
        <v>12</v>
      </c>
      <c r="CJ7" s="77">
        <v>13</v>
      </c>
      <c r="CK7" s="77">
        <v>14</v>
      </c>
      <c r="CL7" s="115">
        <v>15</v>
      </c>
      <c r="CM7" s="115">
        <v>16</v>
      </c>
      <c r="CN7" s="115">
        <v>17</v>
      </c>
      <c r="CO7" s="77">
        <v>3</v>
      </c>
      <c r="CP7" s="77">
        <v>4</v>
      </c>
      <c r="CQ7" s="77">
        <v>5</v>
      </c>
      <c r="CR7" s="77">
        <v>6</v>
      </c>
      <c r="CS7" s="77">
        <v>7</v>
      </c>
      <c r="CT7" s="77">
        <v>8</v>
      </c>
      <c r="CU7" s="77">
        <v>9</v>
      </c>
      <c r="CV7" s="77">
        <v>10</v>
      </c>
      <c r="CW7" s="77">
        <v>11</v>
      </c>
      <c r="CX7" s="77">
        <v>12</v>
      </c>
      <c r="CY7" s="77">
        <v>13</v>
      </c>
      <c r="CZ7" s="77">
        <v>14</v>
      </c>
      <c r="DA7" s="115">
        <v>15</v>
      </c>
      <c r="DB7" s="115">
        <v>16</v>
      </c>
      <c r="DC7" s="115">
        <v>17</v>
      </c>
      <c r="DD7" s="77">
        <v>3</v>
      </c>
      <c r="DE7" s="77">
        <v>4</v>
      </c>
      <c r="DF7" s="77">
        <v>5</v>
      </c>
      <c r="DG7" s="77">
        <v>6</v>
      </c>
      <c r="DH7" s="77">
        <v>7</v>
      </c>
      <c r="DI7" s="77">
        <v>8</v>
      </c>
      <c r="DJ7" s="77">
        <v>9</v>
      </c>
      <c r="DK7" s="77">
        <v>10</v>
      </c>
      <c r="DL7" s="77">
        <v>11</v>
      </c>
      <c r="DM7" s="77">
        <v>12</v>
      </c>
      <c r="DN7" s="77">
        <v>13</v>
      </c>
      <c r="DO7" s="77">
        <v>14</v>
      </c>
      <c r="DP7" s="115">
        <v>15</v>
      </c>
      <c r="DQ7" s="115">
        <v>16</v>
      </c>
      <c r="DR7" s="115">
        <v>17</v>
      </c>
      <c r="DS7" s="77">
        <v>3</v>
      </c>
      <c r="DT7" s="77">
        <v>4</v>
      </c>
      <c r="DU7" s="77">
        <v>5</v>
      </c>
      <c r="DV7" s="77">
        <v>6</v>
      </c>
      <c r="DW7" s="77">
        <v>7</v>
      </c>
      <c r="DX7" s="77">
        <v>8</v>
      </c>
      <c r="DY7" s="77">
        <v>9</v>
      </c>
      <c r="DZ7" s="77">
        <v>10</v>
      </c>
      <c r="EA7" s="77">
        <v>11</v>
      </c>
      <c r="EB7" s="77">
        <v>12</v>
      </c>
      <c r="EC7" s="77">
        <v>13</v>
      </c>
      <c r="ED7" s="77">
        <v>14</v>
      </c>
      <c r="EE7" s="115">
        <v>15</v>
      </c>
      <c r="EF7" s="115">
        <v>16</v>
      </c>
      <c r="EG7" s="115">
        <v>17</v>
      </c>
      <c r="EH7" s="78">
        <v>3</v>
      </c>
      <c r="EI7" s="78">
        <v>4</v>
      </c>
      <c r="EJ7" s="78">
        <v>5</v>
      </c>
      <c r="EK7" s="78">
        <v>6</v>
      </c>
      <c r="EL7" s="78">
        <v>7</v>
      </c>
      <c r="EM7" s="78">
        <v>8</v>
      </c>
      <c r="EN7" s="78">
        <v>12</v>
      </c>
      <c r="EO7" s="78">
        <v>13</v>
      </c>
      <c r="EP7" s="78">
        <v>14</v>
      </c>
      <c r="EQ7" s="78">
        <v>3</v>
      </c>
      <c r="ER7" s="78">
        <v>4</v>
      </c>
      <c r="ES7" s="78">
        <v>5</v>
      </c>
      <c r="ET7" s="78">
        <v>6</v>
      </c>
      <c r="EU7" s="78">
        <v>7</v>
      </c>
      <c r="EV7" s="78">
        <v>8</v>
      </c>
      <c r="EW7" s="78">
        <v>12</v>
      </c>
      <c r="EX7" s="78">
        <v>13</v>
      </c>
      <c r="EY7" s="78">
        <v>14</v>
      </c>
      <c r="EZ7" s="78">
        <v>3</v>
      </c>
      <c r="FA7" s="78">
        <v>4</v>
      </c>
      <c r="FB7" s="78">
        <v>5</v>
      </c>
      <c r="FC7" s="78">
        <v>6</v>
      </c>
      <c r="FD7" s="78">
        <v>7</v>
      </c>
      <c r="FE7" s="78">
        <v>8</v>
      </c>
      <c r="FF7" s="78">
        <v>12</v>
      </c>
      <c r="FG7" s="78">
        <v>13</v>
      </c>
      <c r="FH7" s="78">
        <v>14</v>
      </c>
    </row>
    <row r="8" spans="1:182" s="119" customFormat="1" ht="15.75" customHeight="1" x14ac:dyDescent="0.25">
      <c r="A8" s="506" t="s">
        <v>216</v>
      </c>
      <c r="B8" s="506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4"/>
      <c r="FJ8" s="124"/>
      <c r="FK8" s="124"/>
      <c r="FL8" s="505"/>
      <c r="FM8" s="505"/>
      <c r="FN8" s="505"/>
      <c r="FO8" s="505"/>
      <c r="FP8" s="505"/>
      <c r="FQ8" s="505"/>
      <c r="FR8" s="505"/>
      <c r="FS8" s="505"/>
      <c r="FT8" s="505"/>
      <c r="FU8" s="505"/>
      <c r="FV8" s="505"/>
      <c r="FW8" s="505"/>
      <c r="FX8" s="505"/>
      <c r="FY8" s="505"/>
      <c r="FZ8" s="505"/>
    </row>
    <row r="9" spans="1:182" ht="28.5" x14ac:dyDescent="0.25">
      <c r="A9" s="94">
        <v>1</v>
      </c>
      <c r="B9" s="118" t="s">
        <v>318</v>
      </c>
      <c r="C9" s="96">
        <v>949381</v>
      </c>
      <c r="D9" s="96">
        <v>639933</v>
      </c>
      <c r="E9" s="96">
        <f t="shared" ref="E9:E10" si="0">C9+D9</f>
        <v>1589314</v>
      </c>
      <c r="F9" s="99">
        <v>919085</v>
      </c>
      <c r="G9" s="96">
        <v>623931</v>
      </c>
      <c r="H9" s="96">
        <f t="shared" ref="H9:H10" si="1">F9+G9</f>
        <v>1543016</v>
      </c>
      <c r="I9" s="96">
        <v>15127</v>
      </c>
      <c r="J9" s="96">
        <v>7988</v>
      </c>
      <c r="K9" s="96">
        <f t="shared" ref="K9" si="2">I9+J9</f>
        <v>23115</v>
      </c>
      <c r="L9" s="97">
        <f t="shared" ref="L9" si="3">F9+I9</f>
        <v>934212</v>
      </c>
      <c r="M9" s="98">
        <f t="shared" ref="M9" si="4">G9+J9</f>
        <v>631919</v>
      </c>
      <c r="N9" s="98">
        <f t="shared" ref="N9" si="5">H9+K9</f>
        <v>1566131</v>
      </c>
      <c r="O9" s="116">
        <f t="shared" ref="O9:O10" si="6">L9/C9</f>
        <v>0.98402222079439128</v>
      </c>
      <c r="P9" s="116">
        <f t="shared" ref="P9:P10" si="7">M9/D9</f>
        <v>0.98747681397896347</v>
      </c>
      <c r="Q9" s="116">
        <f t="shared" ref="Q9:Q10" si="8">N9/E9</f>
        <v>0.98541320343242433</v>
      </c>
      <c r="R9" s="98">
        <v>34720</v>
      </c>
      <c r="S9" s="98">
        <v>35710</v>
      </c>
      <c r="T9" s="98">
        <f t="shared" ref="T9:T10" si="9">R9+S9</f>
        <v>70430</v>
      </c>
      <c r="U9" s="98">
        <v>718</v>
      </c>
      <c r="V9" s="98">
        <v>1132</v>
      </c>
      <c r="W9" s="98">
        <f>U9+V9</f>
        <v>1850</v>
      </c>
      <c r="X9" s="98">
        <v>2117</v>
      </c>
      <c r="Y9" s="98">
        <v>4270</v>
      </c>
      <c r="Z9" s="98">
        <f t="shared" ref="Z9" si="10">X9+Y9</f>
        <v>6387</v>
      </c>
      <c r="AA9" s="98">
        <f>U9+X9</f>
        <v>2835</v>
      </c>
      <c r="AB9" s="98">
        <f t="shared" ref="AB9" si="11">V9+Y9</f>
        <v>5402</v>
      </c>
      <c r="AC9" s="98">
        <f>W9+Z9</f>
        <v>8237</v>
      </c>
      <c r="AD9" s="116">
        <f t="shared" ref="AD9:AD10" si="12">AA9/R9</f>
        <v>8.165322580645161E-2</v>
      </c>
      <c r="AE9" s="116">
        <f t="shared" ref="AE9:AE10" si="13">AB9/S9</f>
        <v>0.15127415289834781</v>
      </c>
      <c r="AF9" s="116">
        <f t="shared" ref="AF9:AF10" si="14">AC9/T9</f>
        <v>0.11695300298168394</v>
      </c>
      <c r="AG9" s="98">
        <f t="shared" ref="AG9:AG10" si="15">C9+R9</f>
        <v>984101</v>
      </c>
      <c r="AH9" s="98">
        <f t="shared" ref="AH9:AH10" si="16">D9+S9</f>
        <v>675643</v>
      </c>
      <c r="AI9" s="98">
        <f t="shared" ref="AI9:AI10" si="17">E9+T9</f>
        <v>1659744</v>
      </c>
      <c r="AJ9" s="98">
        <f t="shared" ref="AJ9:AJ10" si="18">F9+U9</f>
        <v>919803</v>
      </c>
      <c r="AK9" s="98">
        <f t="shared" ref="AK9:AK10" si="19">G9+V9</f>
        <v>625063</v>
      </c>
      <c r="AL9" s="98">
        <f t="shared" ref="AL9:AL10" si="20">H9+W9</f>
        <v>1544866</v>
      </c>
      <c r="AM9" s="98">
        <f t="shared" ref="AM9" si="21">I9+X9</f>
        <v>17244</v>
      </c>
      <c r="AN9" s="98">
        <f t="shared" ref="AN9" si="22">J9+Y9</f>
        <v>12258</v>
      </c>
      <c r="AO9" s="98">
        <f t="shared" ref="AO9" si="23">K9+Z9</f>
        <v>29502</v>
      </c>
      <c r="AP9" s="98">
        <f t="shared" ref="AP9:AP10" si="24">L9+AA9</f>
        <v>937047</v>
      </c>
      <c r="AQ9" s="98">
        <f t="shared" ref="AQ9:AQ10" si="25">M9+AB9</f>
        <v>637321</v>
      </c>
      <c r="AR9" s="98">
        <f>N9+AC9</f>
        <v>1574368</v>
      </c>
      <c r="AS9" s="116">
        <f t="shared" ref="AS9:AS10" si="26">AP9/AG9</f>
        <v>0.95218580206706427</v>
      </c>
      <c r="AT9" s="116">
        <f t="shared" ref="AT9:AT10" si="27">AQ9/AH9</f>
        <v>0.94328069705450956</v>
      </c>
      <c r="AU9" s="116">
        <f t="shared" ref="AU9:AU10" si="28">AR9/AI9</f>
        <v>0.94856074189754569</v>
      </c>
      <c r="AV9" s="99">
        <v>71878</v>
      </c>
      <c r="AW9" s="99">
        <v>50819</v>
      </c>
      <c r="AX9" s="99">
        <f t="shared" ref="AX9:AX10" si="29">+AV9+AW9</f>
        <v>122697</v>
      </c>
      <c r="AY9" s="99">
        <v>68866</v>
      </c>
      <c r="AZ9" s="99">
        <v>49061</v>
      </c>
      <c r="BA9" s="99">
        <f t="shared" ref="BA9:BA10" si="30">+AY9+AZ9</f>
        <v>117927</v>
      </c>
      <c r="BB9" s="99">
        <v>1357</v>
      </c>
      <c r="BC9" s="99">
        <v>810</v>
      </c>
      <c r="BD9" s="99">
        <f t="shared" ref="BD9" si="31">+BB9+BC9</f>
        <v>2167</v>
      </c>
      <c r="BE9" s="99">
        <f t="shared" ref="BE9:BE10" si="32">+AY9+BB9</f>
        <v>70223</v>
      </c>
      <c r="BF9" s="99">
        <f>+AZ9+BC9</f>
        <v>49871</v>
      </c>
      <c r="BG9" s="99">
        <f>+BA9+BD9</f>
        <v>120094</v>
      </c>
      <c r="BH9" s="116">
        <f t="shared" ref="BH9:BH10" si="33">BE9/AV9</f>
        <v>0.97697487409221184</v>
      </c>
      <c r="BI9" s="116">
        <f t="shared" ref="BI9:BI10" si="34">BF9/AW9</f>
        <v>0.98134555973159643</v>
      </c>
      <c r="BJ9" s="116">
        <f t="shared" ref="BJ9:BJ10" si="35">BG9/AX9</f>
        <v>0.97878513737092188</v>
      </c>
      <c r="BK9" s="98">
        <v>6383</v>
      </c>
      <c r="BL9" s="98">
        <v>6485</v>
      </c>
      <c r="BM9" s="98">
        <f t="shared" ref="BM9:BM10" si="36">BK9+BL9</f>
        <v>12868</v>
      </c>
      <c r="BN9" s="99">
        <v>87</v>
      </c>
      <c r="BO9" s="99">
        <v>138</v>
      </c>
      <c r="BP9" s="99">
        <f t="shared" ref="BP9:BP10" si="37">BN9+BO9</f>
        <v>225</v>
      </c>
      <c r="BQ9" s="99">
        <v>318</v>
      </c>
      <c r="BR9" s="99">
        <v>790</v>
      </c>
      <c r="BS9" s="99">
        <f t="shared" ref="BS9" si="38">BQ9+BR9</f>
        <v>1108</v>
      </c>
      <c r="BT9" s="99">
        <f t="shared" ref="BT9" si="39">+BN9+BQ9</f>
        <v>405</v>
      </c>
      <c r="BU9" s="99">
        <f t="shared" ref="BU9" si="40">+BO9+BR9</f>
        <v>928</v>
      </c>
      <c r="BV9" s="99">
        <f t="shared" ref="BV9" si="41">+BP9+BS9</f>
        <v>1333</v>
      </c>
      <c r="BW9" s="116">
        <f t="shared" ref="BW9:BW10" si="42">BT9/BK9</f>
        <v>6.3449788500704998E-2</v>
      </c>
      <c r="BX9" s="116">
        <f t="shared" ref="BX9:BX10" si="43">BU9/BL9</f>
        <v>0.14309946029298382</v>
      </c>
      <c r="BY9" s="116">
        <f t="shared" ref="BY9:BY10" si="44">BV9/BM9</f>
        <v>0.10359030152315822</v>
      </c>
      <c r="BZ9" s="98">
        <f t="shared" ref="BZ9" si="45">AV9+BK9</f>
        <v>78261</v>
      </c>
      <c r="CA9" s="98">
        <f t="shared" ref="CA9" si="46">AW9+BL9</f>
        <v>57304</v>
      </c>
      <c r="CB9" s="98">
        <f t="shared" ref="CB9" si="47">AX9+BM9</f>
        <v>135565</v>
      </c>
      <c r="CC9" s="98">
        <f t="shared" ref="CC9:CC10" si="48">AY9+BN9</f>
        <v>68953</v>
      </c>
      <c r="CD9" s="98">
        <f t="shared" ref="CD9:CD10" si="49">AZ9+BO9</f>
        <v>49199</v>
      </c>
      <c r="CE9" s="98">
        <f t="shared" ref="CE9:CE10" si="50">BA9+BP9</f>
        <v>118152</v>
      </c>
      <c r="CF9" s="98">
        <f t="shared" ref="CF9" si="51">BB9+BQ9</f>
        <v>1675</v>
      </c>
      <c r="CG9" s="98">
        <f t="shared" ref="CG9" si="52">BC9+BR9</f>
        <v>1600</v>
      </c>
      <c r="CH9" s="98">
        <f t="shared" ref="CH9" si="53">BD9+BS9</f>
        <v>3275</v>
      </c>
      <c r="CI9" s="98">
        <f t="shared" ref="CI9:CI10" si="54">BE9+BT9</f>
        <v>70628</v>
      </c>
      <c r="CJ9" s="98">
        <f t="shared" ref="CJ9:CJ10" si="55">BF9+BU9</f>
        <v>50799</v>
      </c>
      <c r="CK9" s="98">
        <f t="shared" ref="CK9:CK10" si="56">BG9+BV9</f>
        <v>121427</v>
      </c>
      <c r="CL9" s="116">
        <f t="shared" ref="CL9:CL10" si="57">CI9/BZ9</f>
        <v>0.90246738477658095</v>
      </c>
      <c r="CM9" s="116">
        <f t="shared" ref="CM9:CM10" si="58">CJ9/CA9</f>
        <v>0.88648261901437941</v>
      </c>
      <c r="CN9" s="116">
        <f t="shared" ref="CN9:CN10" si="59">CK9/CB9</f>
        <v>0.89571054475712752</v>
      </c>
      <c r="CO9" s="99">
        <v>31895</v>
      </c>
      <c r="CP9" s="99">
        <v>26302</v>
      </c>
      <c r="CQ9" s="99">
        <f t="shared" ref="CQ9:CQ10" si="60">+CO9+CP9</f>
        <v>58197</v>
      </c>
      <c r="CR9" s="99">
        <v>28419</v>
      </c>
      <c r="CS9" s="99">
        <v>23055</v>
      </c>
      <c r="CT9" s="99">
        <f t="shared" ref="CT9:CT10" si="61">+CR9+CS9</f>
        <v>51474</v>
      </c>
      <c r="CU9" s="99">
        <v>1710</v>
      </c>
      <c r="CV9" s="99">
        <v>1729</v>
      </c>
      <c r="CW9" s="99">
        <f t="shared" ref="CW9" si="62">+CU9+CV9</f>
        <v>3439</v>
      </c>
      <c r="CX9" s="99">
        <f t="shared" ref="CX9" si="63">+CR9+CU9</f>
        <v>30129</v>
      </c>
      <c r="CY9" s="99">
        <f t="shared" ref="CY9:CY10" si="64">+CS9+CV9</f>
        <v>24784</v>
      </c>
      <c r="CZ9" s="99">
        <f t="shared" ref="CZ9:CZ10" si="65">+CT9+CW9</f>
        <v>54913</v>
      </c>
      <c r="DA9" s="116">
        <f t="shared" ref="DA9:DA10" si="66">CX9/CO9</f>
        <v>0.94463081987772379</v>
      </c>
      <c r="DB9" s="116">
        <f t="shared" ref="DB9:DB10" si="67">CY9/CP9</f>
        <v>0.94228575773705425</v>
      </c>
      <c r="DC9" s="116">
        <f t="shared" ref="DC9:DC10" si="68">CZ9/CQ9</f>
        <v>0.94357097444885474</v>
      </c>
      <c r="DD9" s="98">
        <v>47</v>
      </c>
      <c r="DE9" s="98">
        <v>44</v>
      </c>
      <c r="DF9" s="98">
        <f t="shared" ref="DF9:DF10" si="69">DD9+DE9</f>
        <v>91</v>
      </c>
      <c r="DG9" s="99">
        <v>7</v>
      </c>
      <c r="DH9" s="99">
        <v>5</v>
      </c>
      <c r="DI9" s="99">
        <f t="shared" ref="DI9:DI10" si="70">+DG9+DH9</f>
        <v>12</v>
      </c>
      <c r="DJ9" s="99">
        <v>9</v>
      </c>
      <c r="DK9" s="99">
        <v>6</v>
      </c>
      <c r="DL9" s="99">
        <f t="shared" ref="DL9" si="71">DJ9+DK9</f>
        <v>15</v>
      </c>
      <c r="DM9" s="99">
        <f t="shared" ref="DM9:DM10" si="72">+DG9+DJ9</f>
        <v>16</v>
      </c>
      <c r="DN9" s="99">
        <f t="shared" ref="DN9:DN10" si="73">+DH9+DK9</f>
        <v>11</v>
      </c>
      <c r="DO9" s="99">
        <f t="shared" ref="DO9:DO10" si="74">+DI9+DL9</f>
        <v>27</v>
      </c>
      <c r="DP9" s="116">
        <f t="shared" ref="DP9:DP10" si="75">DM9/DD9</f>
        <v>0.34042553191489361</v>
      </c>
      <c r="DQ9" s="116">
        <f t="shared" ref="DQ9:DQ10" si="76">DN9/DE9</f>
        <v>0.25</v>
      </c>
      <c r="DR9" s="116">
        <f t="shared" ref="DR9:DR10" si="77">DO9/DF9</f>
        <v>0.2967032967032967</v>
      </c>
      <c r="DS9" s="98">
        <f t="shared" ref="DS9:DS10" si="78">CO9+DD9</f>
        <v>31942</v>
      </c>
      <c r="DT9" s="98">
        <f t="shared" ref="DT9:DT10" si="79">CP9+DE9</f>
        <v>26346</v>
      </c>
      <c r="DU9" s="98">
        <f t="shared" ref="DU9:DU10" si="80">CQ9+DF9</f>
        <v>58288</v>
      </c>
      <c r="DV9" s="98">
        <f t="shared" ref="DV9:DV10" si="81">CR9+DG9</f>
        <v>28426</v>
      </c>
      <c r="DW9" s="98">
        <f t="shared" ref="DW9:DW10" si="82">CS9+DH9</f>
        <v>23060</v>
      </c>
      <c r="DX9" s="98">
        <f t="shared" ref="DX9:DX10" si="83">CT9+DI9</f>
        <v>51486</v>
      </c>
      <c r="DY9" s="98">
        <f t="shared" ref="DY9" si="84">CU9+DJ9</f>
        <v>1719</v>
      </c>
      <c r="DZ9" s="98">
        <f t="shared" ref="DZ9" si="85">CV9+DK9</f>
        <v>1735</v>
      </c>
      <c r="EA9" s="98">
        <f t="shared" ref="EA9" si="86">CW9+DL9</f>
        <v>3454</v>
      </c>
      <c r="EB9" s="98">
        <f t="shared" ref="EB9:EB10" si="87">CX9+DM9</f>
        <v>30145</v>
      </c>
      <c r="EC9" s="98">
        <f t="shared" ref="EC9:EC10" si="88">CY9+DN9</f>
        <v>24795</v>
      </c>
      <c r="ED9" s="98">
        <f t="shared" ref="ED9:ED10" si="89">CZ9+DO9</f>
        <v>54940</v>
      </c>
      <c r="EE9" s="116">
        <f t="shared" ref="EE9:EE10" si="90">EB9/DS9</f>
        <v>0.94374178197983849</v>
      </c>
      <c r="EF9" s="116">
        <f t="shared" ref="EF9:EF10" si="91">EC9/DT9</f>
        <v>0.94112958323844231</v>
      </c>
      <c r="EG9" s="116">
        <f t="shared" ref="EG9:EG10" si="92">ED9/DU9</f>
        <v>0.94256107603623385</v>
      </c>
      <c r="EH9" s="98">
        <f t="shared" ref="EH9:EH10" si="93">+AP9</f>
        <v>937047</v>
      </c>
      <c r="EI9" s="98">
        <f t="shared" ref="EI9:EI10" si="94">+AQ9</f>
        <v>637321</v>
      </c>
      <c r="EJ9" s="98">
        <f t="shared" ref="EJ9:EJ10" si="95">+AR9</f>
        <v>1574368</v>
      </c>
      <c r="EK9" s="98">
        <v>722048</v>
      </c>
      <c r="EL9" s="98">
        <v>512621</v>
      </c>
      <c r="EM9" s="98">
        <f t="shared" ref="EM9:EM12" si="96">EK9+EL9</f>
        <v>1234669</v>
      </c>
      <c r="EN9" s="100">
        <f t="shared" ref="EN9:EN10" si="97">+EK9*100/EH9</f>
        <v>77.055686641118328</v>
      </c>
      <c r="EO9" s="100">
        <f t="shared" ref="EO9:EO10" si="98">+EL9*100/EI9</f>
        <v>80.433721782272983</v>
      </c>
      <c r="EP9" s="100">
        <f t="shared" ref="EP9:EP10" si="99">+EM9*100/EJ9</f>
        <v>78.423151385190749</v>
      </c>
      <c r="EQ9" s="98">
        <f t="shared" ref="EQ9:EQ10" si="100">+CI9</f>
        <v>70628</v>
      </c>
      <c r="ER9" s="98">
        <f t="shared" ref="ER9:ER10" si="101">+CJ9</f>
        <v>50799</v>
      </c>
      <c r="ES9" s="98">
        <f t="shared" ref="ES9:ES10" si="102">+CK9</f>
        <v>121427</v>
      </c>
      <c r="ET9" s="98">
        <v>48272</v>
      </c>
      <c r="EU9" s="98">
        <v>33965</v>
      </c>
      <c r="EV9" s="98">
        <f t="shared" ref="EV9:EV10" si="103">ET9+EU9</f>
        <v>82237</v>
      </c>
      <c r="EW9" s="100">
        <f t="shared" ref="EW9:EW10" si="104">+ET9*100/EQ9</f>
        <v>68.346831285042754</v>
      </c>
      <c r="EX9" s="100">
        <f t="shared" ref="EX9:EX10" si="105">+EU9*100/ER9</f>
        <v>66.861552392763642</v>
      </c>
      <c r="EY9" s="100">
        <f t="shared" ref="EY9:EY10" si="106">+EV9*100/ES9</f>
        <v>67.72546468248413</v>
      </c>
      <c r="EZ9" s="98">
        <f t="shared" ref="EZ9:EZ10" si="107">+EB9</f>
        <v>30145</v>
      </c>
      <c r="FA9" s="98">
        <f t="shared" ref="FA9:FA10" si="108">+EC9</f>
        <v>24795</v>
      </c>
      <c r="FB9" s="98">
        <f t="shared" ref="FB9:FB10" si="109">+ED9</f>
        <v>54940</v>
      </c>
      <c r="FC9" s="98">
        <v>18425</v>
      </c>
      <c r="FD9" s="98">
        <v>15088</v>
      </c>
      <c r="FE9" s="98">
        <f t="shared" ref="FE9:FE10" si="110">FC9+FD9</f>
        <v>33513</v>
      </c>
      <c r="FF9" s="100">
        <f t="shared" ref="FF9:FF10" si="111">+FC9*100/EZ9</f>
        <v>61.121247304693981</v>
      </c>
      <c r="FG9" s="100">
        <f t="shared" ref="FG9:FG10" si="112">+FD9*100/FA9</f>
        <v>60.850978019762046</v>
      </c>
      <c r="FH9" s="100">
        <f t="shared" ref="FH9:FH10" si="113">+FE9*100/FB9</f>
        <v>60.999271933017837</v>
      </c>
    </row>
    <row r="10" spans="1:182" ht="28.5" x14ac:dyDescent="0.25">
      <c r="A10" s="94">
        <v>2</v>
      </c>
      <c r="B10" s="118" t="s">
        <v>215</v>
      </c>
      <c r="C10" s="96">
        <v>96566</v>
      </c>
      <c r="D10" s="96">
        <v>78428</v>
      </c>
      <c r="E10" s="96">
        <f t="shared" si="0"/>
        <v>174994</v>
      </c>
      <c r="F10" s="96">
        <v>94841</v>
      </c>
      <c r="G10" s="96">
        <v>77703</v>
      </c>
      <c r="H10" s="96">
        <f t="shared" si="1"/>
        <v>172544</v>
      </c>
      <c r="I10" s="104"/>
      <c r="J10" s="104"/>
      <c r="K10" s="104"/>
      <c r="L10" s="97">
        <f t="shared" ref="L10" si="114">F10+I10</f>
        <v>94841</v>
      </c>
      <c r="M10" s="98">
        <f t="shared" ref="M10" si="115">G10+J10</f>
        <v>77703</v>
      </c>
      <c r="N10" s="98">
        <f t="shared" ref="N10" si="116">H10+K10</f>
        <v>172544</v>
      </c>
      <c r="O10" s="116">
        <f t="shared" si="6"/>
        <v>0.98213656980717856</v>
      </c>
      <c r="P10" s="116">
        <f t="shared" si="7"/>
        <v>0.99075585250165754</v>
      </c>
      <c r="Q10" s="116">
        <f t="shared" si="8"/>
        <v>0.98599951998354229</v>
      </c>
      <c r="R10" s="98">
        <v>203</v>
      </c>
      <c r="S10" s="98">
        <v>102</v>
      </c>
      <c r="T10" s="98">
        <f t="shared" si="9"/>
        <v>305</v>
      </c>
      <c r="U10" s="98">
        <v>121</v>
      </c>
      <c r="V10" s="98">
        <v>67</v>
      </c>
      <c r="W10" s="98">
        <f t="shared" ref="W10" si="117">U10+V10</f>
        <v>188</v>
      </c>
      <c r="X10" s="103"/>
      <c r="Y10" s="103"/>
      <c r="Z10" s="103"/>
      <c r="AA10" s="98">
        <f>U10+X10</f>
        <v>121</v>
      </c>
      <c r="AB10" s="98">
        <f t="shared" ref="AB10" si="118">V10+Y10</f>
        <v>67</v>
      </c>
      <c r="AC10" s="98">
        <f t="shared" ref="AC10" si="119">W10+Z10</f>
        <v>188</v>
      </c>
      <c r="AD10" s="116">
        <f t="shared" si="12"/>
        <v>0.59605911330049266</v>
      </c>
      <c r="AE10" s="116">
        <f t="shared" si="13"/>
        <v>0.65686274509803921</v>
      </c>
      <c r="AF10" s="116">
        <f t="shared" si="14"/>
        <v>0.61639344262295082</v>
      </c>
      <c r="AG10" s="98">
        <f t="shared" si="15"/>
        <v>96769</v>
      </c>
      <c r="AH10" s="98">
        <f t="shared" si="16"/>
        <v>78530</v>
      </c>
      <c r="AI10" s="98">
        <f t="shared" si="17"/>
        <v>175299</v>
      </c>
      <c r="AJ10" s="98">
        <f t="shared" si="18"/>
        <v>94962</v>
      </c>
      <c r="AK10" s="98">
        <f t="shared" si="19"/>
        <v>77770</v>
      </c>
      <c r="AL10" s="98">
        <f t="shared" si="20"/>
        <v>172732</v>
      </c>
      <c r="AM10" s="103"/>
      <c r="AN10" s="103"/>
      <c r="AO10" s="103"/>
      <c r="AP10" s="98">
        <f t="shared" si="24"/>
        <v>94962</v>
      </c>
      <c r="AQ10" s="98">
        <f t="shared" si="25"/>
        <v>77770</v>
      </c>
      <c r="AR10" s="98">
        <f t="shared" ref="AR10" si="120">N10+AC10</f>
        <v>172732</v>
      </c>
      <c r="AS10" s="116">
        <f t="shared" si="26"/>
        <v>0.98132666453099648</v>
      </c>
      <c r="AT10" s="116">
        <f t="shared" si="27"/>
        <v>0.99032216987138677</v>
      </c>
      <c r="AU10" s="116">
        <f t="shared" si="28"/>
        <v>0.98535644812577372</v>
      </c>
      <c r="AV10" s="99">
        <v>4666</v>
      </c>
      <c r="AW10" s="99">
        <v>3537</v>
      </c>
      <c r="AX10" s="99">
        <f t="shared" si="29"/>
        <v>8203</v>
      </c>
      <c r="AY10" s="99">
        <v>4541</v>
      </c>
      <c r="AZ10" s="99">
        <v>3473</v>
      </c>
      <c r="BA10" s="99">
        <f t="shared" si="30"/>
        <v>8014</v>
      </c>
      <c r="BB10" s="104"/>
      <c r="BC10" s="104"/>
      <c r="BD10" s="104"/>
      <c r="BE10" s="99">
        <f t="shared" si="32"/>
        <v>4541</v>
      </c>
      <c r="BF10" s="99">
        <f t="shared" ref="BF10" si="121">+AZ10+BC10</f>
        <v>3473</v>
      </c>
      <c r="BG10" s="99">
        <f t="shared" ref="BG10" si="122">+BA10+BD10</f>
        <v>8014</v>
      </c>
      <c r="BH10" s="116">
        <f t="shared" si="33"/>
        <v>0.97321045863694811</v>
      </c>
      <c r="BI10" s="116">
        <f t="shared" si="34"/>
        <v>0.98190556969182918</v>
      </c>
      <c r="BJ10" s="116">
        <f t="shared" si="35"/>
        <v>0.97695964890893572</v>
      </c>
      <c r="BK10" s="98">
        <v>18</v>
      </c>
      <c r="BL10" s="98">
        <v>7</v>
      </c>
      <c r="BM10" s="98">
        <f t="shared" si="36"/>
        <v>25</v>
      </c>
      <c r="BN10" s="99">
        <v>14</v>
      </c>
      <c r="BO10" s="99">
        <v>6</v>
      </c>
      <c r="BP10" s="99">
        <f t="shared" si="37"/>
        <v>20</v>
      </c>
      <c r="BQ10" s="104"/>
      <c r="BR10" s="104"/>
      <c r="BS10" s="104"/>
      <c r="BT10" s="99">
        <f t="shared" ref="BT10" si="123">+BN10+BQ10</f>
        <v>14</v>
      </c>
      <c r="BU10" s="99">
        <f t="shared" ref="BU10" si="124">+BO10+BR10</f>
        <v>6</v>
      </c>
      <c r="BV10" s="99">
        <f t="shared" ref="BV10" si="125">+BP10+BS10</f>
        <v>20</v>
      </c>
      <c r="BW10" s="116">
        <f t="shared" si="42"/>
        <v>0.77777777777777779</v>
      </c>
      <c r="BX10" s="116">
        <f t="shared" si="43"/>
        <v>0.8571428571428571</v>
      </c>
      <c r="BY10" s="116">
        <f t="shared" si="44"/>
        <v>0.8</v>
      </c>
      <c r="BZ10" s="98">
        <f t="shared" ref="BZ10" si="126">AV10+BK10</f>
        <v>4684</v>
      </c>
      <c r="CA10" s="98">
        <f t="shared" ref="CA10" si="127">AW10+BL10</f>
        <v>3544</v>
      </c>
      <c r="CB10" s="98">
        <f t="shared" ref="CB10" si="128">AX10+BM10</f>
        <v>8228</v>
      </c>
      <c r="CC10" s="98">
        <f t="shared" si="48"/>
        <v>4555</v>
      </c>
      <c r="CD10" s="98">
        <f t="shared" si="49"/>
        <v>3479</v>
      </c>
      <c r="CE10" s="98">
        <f t="shared" si="50"/>
        <v>8034</v>
      </c>
      <c r="CF10" s="103"/>
      <c r="CG10" s="103"/>
      <c r="CH10" s="103"/>
      <c r="CI10" s="98">
        <f t="shared" si="54"/>
        <v>4555</v>
      </c>
      <c r="CJ10" s="98">
        <f t="shared" si="55"/>
        <v>3479</v>
      </c>
      <c r="CK10" s="98">
        <f t="shared" si="56"/>
        <v>8034</v>
      </c>
      <c r="CL10" s="116">
        <f t="shared" si="57"/>
        <v>0.9724594363791631</v>
      </c>
      <c r="CM10" s="116">
        <f t="shared" si="58"/>
        <v>0.98165914221218964</v>
      </c>
      <c r="CN10" s="116">
        <f t="shared" si="59"/>
        <v>0.97642197374817696</v>
      </c>
      <c r="CO10" s="99">
        <v>3058</v>
      </c>
      <c r="CP10" s="99">
        <v>2729</v>
      </c>
      <c r="CQ10" s="99">
        <f t="shared" si="60"/>
        <v>5787</v>
      </c>
      <c r="CR10" s="99">
        <v>2972</v>
      </c>
      <c r="CS10" s="99">
        <v>2661</v>
      </c>
      <c r="CT10" s="99">
        <f t="shared" si="61"/>
        <v>5633</v>
      </c>
      <c r="CU10" s="104"/>
      <c r="CV10" s="104"/>
      <c r="CW10" s="104"/>
      <c r="CX10" s="99">
        <f>+CR10+CU10</f>
        <v>2972</v>
      </c>
      <c r="CY10" s="99">
        <f t="shared" si="64"/>
        <v>2661</v>
      </c>
      <c r="CZ10" s="99">
        <f t="shared" si="65"/>
        <v>5633</v>
      </c>
      <c r="DA10" s="116">
        <f t="shared" si="66"/>
        <v>0.97187704381948992</v>
      </c>
      <c r="DB10" s="116">
        <f t="shared" si="67"/>
        <v>0.97508244778307074</v>
      </c>
      <c r="DC10" s="116">
        <f t="shared" si="68"/>
        <v>0.97338862968722994</v>
      </c>
      <c r="DD10" s="98">
        <v>14</v>
      </c>
      <c r="DE10" s="98">
        <v>9</v>
      </c>
      <c r="DF10" s="98">
        <f t="shared" si="69"/>
        <v>23</v>
      </c>
      <c r="DG10" s="99">
        <v>6</v>
      </c>
      <c r="DH10" s="99">
        <v>7</v>
      </c>
      <c r="DI10" s="99">
        <f t="shared" si="70"/>
        <v>13</v>
      </c>
      <c r="DJ10" s="104"/>
      <c r="DK10" s="104"/>
      <c r="DL10" s="104"/>
      <c r="DM10" s="99">
        <f t="shared" si="72"/>
        <v>6</v>
      </c>
      <c r="DN10" s="99">
        <f t="shared" si="73"/>
        <v>7</v>
      </c>
      <c r="DO10" s="99">
        <f t="shared" si="74"/>
        <v>13</v>
      </c>
      <c r="DP10" s="116">
        <f t="shared" si="75"/>
        <v>0.42857142857142855</v>
      </c>
      <c r="DQ10" s="116">
        <f t="shared" si="76"/>
        <v>0.77777777777777779</v>
      </c>
      <c r="DR10" s="116">
        <f t="shared" si="77"/>
        <v>0.56521739130434778</v>
      </c>
      <c r="DS10" s="98">
        <f t="shared" si="78"/>
        <v>3072</v>
      </c>
      <c r="DT10" s="98">
        <f t="shared" si="79"/>
        <v>2738</v>
      </c>
      <c r="DU10" s="98">
        <f t="shared" si="80"/>
        <v>5810</v>
      </c>
      <c r="DV10" s="98">
        <f t="shared" si="81"/>
        <v>2978</v>
      </c>
      <c r="DW10" s="98">
        <f t="shared" si="82"/>
        <v>2668</v>
      </c>
      <c r="DX10" s="98">
        <f t="shared" si="83"/>
        <v>5646</v>
      </c>
      <c r="DY10" s="103"/>
      <c r="DZ10" s="103"/>
      <c r="EA10" s="103"/>
      <c r="EB10" s="98">
        <f t="shared" si="87"/>
        <v>2978</v>
      </c>
      <c r="EC10" s="98">
        <f t="shared" si="88"/>
        <v>2668</v>
      </c>
      <c r="ED10" s="98">
        <f t="shared" si="89"/>
        <v>5646</v>
      </c>
      <c r="EE10" s="116">
        <f t="shared" si="90"/>
        <v>0.96940104166666663</v>
      </c>
      <c r="EF10" s="116">
        <f t="shared" si="91"/>
        <v>0.97443389335281227</v>
      </c>
      <c r="EG10" s="116">
        <f t="shared" si="92"/>
        <v>0.97177280550774525</v>
      </c>
      <c r="EH10" s="98">
        <f t="shared" si="93"/>
        <v>94962</v>
      </c>
      <c r="EI10" s="98">
        <f t="shared" si="94"/>
        <v>77770</v>
      </c>
      <c r="EJ10" s="98">
        <f t="shared" si="95"/>
        <v>172732</v>
      </c>
      <c r="EK10" s="98">
        <v>83269</v>
      </c>
      <c r="EL10" s="98">
        <v>71783</v>
      </c>
      <c r="EM10" s="98">
        <f t="shared" si="96"/>
        <v>155052</v>
      </c>
      <c r="EN10" s="100">
        <f t="shared" si="97"/>
        <v>87.686653608811952</v>
      </c>
      <c r="EO10" s="100">
        <f t="shared" si="98"/>
        <v>92.301658737302304</v>
      </c>
      <c r="EP10" s="100">
        <f t="shared" si="99"/>
        <v>89.764490656045197</v>
      </c>
      <c r="EQ10" s="98">
        <f t="shared" si="100"/>
        <v>4555</v>
      </c>
      <c r="ER10" s="98">
        <f t="shared" si="101"/>
        <v>3479</v>
      </c>
      <c r="ES10" s="98">
        <f t="shared" si="102"/>
        <v>8034</v>
      </c>
      <c r="ET10" s="98">
        <v>3732</v>
      </c>
      <c r="EU10" s="98">
        <v>2965</v>
      </c>
      <c r="EV10" s="98">
        <f t="shared" si="103"/>
        <v>6697</v>
      </c>
      <c r="EW10" s="100">
        <f t="shared" si="104"/>
        <v>81.931942919868277</v>
      </c>
      <c r="EX10" s="100">
        <f t="shared" si="105"/>
        <v>85.225639551595279</v>
      </c>
      <c r="EY10" s="100">
        <f t="shared" si="106"/>
        <v>83.358227532984813</v>
      </c>
      <c r="EZ10" s="98">
        <f t="shared" si="107"/>
        <v>2978</v>
      </c>
      <c r="FA10" s="98">
        <f t="shared" si="108"/>
        <v>2668</v>
      </c>
      <c r="FB10" s="98">
        <f t="shared" si="109"/>
        <v>5646</v>
      </c>
      <c r="FC10" s="98">
        <v>2150</v>
      </c>
      <c r="FD10" s="98">
        <v>2173</v>
      </c>
      <c r="FE10" s="98">
        <f t="shared" si="110"/>
        <v>4323</v>
      </c>
      <c r="FF10" s="100">
        <f t="shared" si="111"/>
        <v>72.19610476830087</v>
      </c>
      <c r="FG10" s="100">
        <f t="shared" si="112"/>
        <v>81.446776611694148</v>
      </c>
      <c r="FH10" s="100">
        <f t="shared" si="113"/>
        <v>76.567481402763022</v>
      </c>
    </row>
    <row r="11" spans="1:182" s="119" customFormat="1" ht="15.75" customHeight="1" x14ac:dyDescent="0.25">
      <c r="A11" s="506" t="s">
        <v>217</v>
      </c>
      <c r="B11" s="506"/>
      <c r="C11" s="507"/>
      <c r="D11" s="507"/>
      <c r="E11" s="507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7"/>
      <c r="T11" s="507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507"/>
      <c r="AG11" s="160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2"/>
      <c r="AV11" s="507"/>
      <c r="AW11" s="507"/>
      <c r="AX11" s="507"/>
      <c r="AY11" s="507"/>
      <c r="AZ11" s="507"/>
      <c r="BA11" s="507"/>
      <c r="BB11" s="507"/>
      <c r="BC11" s="507"/>
      <c r="BD11" s="507"/>
      <c r="BE11" s="507"/>
      <c r="BF11" s="507"/>
      <c r="BG11" s="507"/>
      <c r="BH11" s="507"/>
      <c r="BI11" s="507"/>
      <c r="BJ11" s="507"/>
      <c r="BK11" s="507"/>
      <c r="BL11" s="507"/>
      <c r="BM11" s="507"/>
      <c r="BN11" s="507"/>
      <c r="BO11" s="507"/>
      <c r="BP11" s="507"/>
      <c r="BQ11" s="507"/>
      <c r="BR11" s="507"/>
      <c r="BS11" s="507"/>
      <c r="BT11" s="507"/>
      <c r="BU11" s="507"/>
      <c r="BV11" s="507"/>
      <c r="BW11" s="507"/>
      <c r="BX11" s="507"/>
      <c r="BY11" s="507"/>
      <c r="BZ11" s="507"/>
      <c r="CA11" s="507"/>
      <c r="CB11" s="507"/>
      <c r="CC11" s="507"/>
      <c r="CD11" s="507"/>
      <c r="CE11" s="507"/>
      <c r="CF11" s="507"/>
      <c r="CG11" s="507"/>
      <c r="CH11" s="507"/>
      <c r="CI11" s="507"/>
      <c r="CJ11" s="507"/>
      <c r="CK11" s="507"/>
      <c r="CL11" s="507"/>
      <c r="CM11" s="507"/>
      <c r="CN11" s="507"/>
      <c r="CO11" s="507"/>
      <c r="CP11" s="507"/>
      <c r="CQ11" s="507"/>
      <c r="CR11" s="507"/>
      <c r="CS11" s="507"/>
      <c r="CT11" s="507"/>
      <c r="CU11" s="507"/>
      <c r="CV11" s="507"/>
      <c r="CW11" s="507"/>
      <c r="CX11" s="507"/>
      <c r="CY11" s="507"/>
      <c r="CZ11" s="507"/>
      <c r="DA11" s="507"/>
      <c r="DB11" s="507"/>
      <c r="DC11" s="507"/>
      <c r="DD11" s="507"/>
      <c r="DE11" s="507"/>
      <c r="DF11" s="507"/>
      <c r="DG11" s="507"/>
      <c r="DH11" s="507"/>
      <c r="DI11" s="507"/>
      <c r="DJ11" s="507"/>
      <c r="DK11" s="507"/>
      <c r="DL11" s="507"/>
      <c r="DM11" s="507"/>
      <c r="DN11" s="507"/>
      <c r="DO11" s="507"/>
      <c r="DP11" s="507"/>
      <c r="DQ11" s="507"/>
      <c r="DR11" s="507"/>
      <c r="DS11" s="507"/>
      <c r="DT11" s="507"/>
      <c r="DU11" s="507"/>
      <c r="DV11" s="507"/>
      <c r="DW11" s="507"/>
      <c r="DX11" s="507"/>
      <c r="DY11" s="507"/>
      <c r="DZ11" s="507"/>
      <c r="EA11" s="507"/>
      <c r="EB11" s="507"/>
      <c r="EC11" s="507"/>
      <c r="ED11" s="507"/>
      <c r="EE11" s="507"/>
      <c r="EF11" s="507"/>
      <c r="EG11" s="507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</row>
    <row r="12" spans="1:182" ht="27" customHeight="1" x14ac:dyDescent="0.25">
      <c r="A12" s="94">
        <v>3</v>
      </c>
      <c r="B12" s="371" t="s">
        <v>133</v>
      </c>
      <c r="C12" s="96">
        <v>314471</v>
      </c>
      <c r="D12" s="96">
        <v>295031</v>
      </c>
      <c r="E12" s="96">
        <f>C12+D12</f>
        <v>609502</v>
      </c>
      <c r="F12" s="96">
        <v>288909</v>
      </c>
      <c r="G12" s="96">
        <v>271344</v>
      </c>
      <c r="H12" s="96">
        <f>F12+G12</f>
        <v>560253</v>
      </c>
      <c r="I12" s="104"/>
      <c r="J12" s="104"/>
      <c r="K12" s="104"/>
      <c r="L12" s="97">
        <f t="shared" ref="L12:N14" si="129">F12+I12</f>
        <v>288909</v>
      </c>
      <c r="M12" s="98">
        <f t="shared" si="129"/>
        <v>271344</v>
      </c>
      <c r="N12" s="98">
        <f t="shared" si="129"/>
        <v>560253</v>
      </c>
      <c r="O12" s="116">
        <f>L12/C12</f>
        <v>0.91871428526000809</v>
      </c>
      <c r="P12" s="116">
        <f>M12/D12</f>
        <v>0.91971352162993036</v>
      </c>
      <c r="Q12" s="116">
        <f>N12/E12</f>
        <v>0.91919796817729882</v>
      </c>
      <c r="R12" s="98">
        <v>8340</v>
      </c>
      <c r="S12" s="98">
        <v>4696</v>
      </c>
      <c r="T12" s="98">
        <f>R12+S12</f>
        <v>13036</v>
      </c>
      <c r="U12" s="98">
        <v>5095</v>
      </c>
      <c r="V12" s="98">
        <v>3167</v>
      </c>
      <c r="W12" s="98">
        <f>U12+V12</f>
        <v>8262</v>
      </c>
      <c r="X12" s="103"/>
      <c r="Y12" s="103"/>
      <c r="Z12" s="103"/>
      <c r="AA12" s="98">
        <f t="shared" ref="AA12:AC13" si="130">U12+X12</f>
        <v>5095</v>
      </c>
      <c r="AB12" s="98">
        <f t="shared" si="130"/>
        <v>3167</v>
      </c>
      <c r="AC12" s="98">
        <f t="shared" si="130"/>
        <v>8262</v>
      </c>
      <c r="AD12" s="116">
        <f t="shared" ref="AD12:AF13" si="131">AA12/R12</f>
        <v>0.61091127098321341</v>
      </c>
      <c r="AE12" s="116">
        <f t="shared" si="131"/>
        <v>0.67440374787052815</v>
      </c>
      <c r="AF12" s="116">
        <f t="shared" si="131"/>
        <v>0.63378336913163547</v>
      </c>
      <c r="AG12" s="98">
        <f t="shared" ref="AG12:AL12" si="132">C12+R12</f>
        <v>322811</v>
      </c>
      <c r="AH12" s="98">
        <f t="shared" si="132"/>
        <v>299727</v>
      </c>
      <c r="AI12" s="98">
        <f t="shared" si="132"/>
        <v>622538</v>
      </c>
      <c r="AJ12" s="98">
        <f t="shared" si="132"/>
        <v>294004</v>
      </c>
      <c r="AK12" s="98">
        <f t="shared" si="132"/>
        <v>274511</v>
      </c>
      <c r="AL12" s="98">
        <f t="shared" si="132"/>
        <v>568515</v>
      </c>
      <c r="AM12" s="103"/>
      <c r="AN12" s="103"/>
      <c r="AO12" s="103"/>
      <c r="AP12" s="98">
        <f t="shared" ref="AP12:AR14" si="133">L12+AA12</f>
        <v>294004</v>
      </c>
      <c r="AQ12" s="98">
        <f t="shared" si="133"/>
        <v>274511</v>
      </c>
      <c r="AR12" s="98">
        <f t="shared" si="133"/>
        <v>568515</v>
      </c>
      <c r="AS12" s="116">
        <f>AP12/AG12</f>
        <v>0.91076202483806312</v>
      </c>
      <c r="AT12" s="116">
        <f>AQ12/AH12</f>
        <v>0.9158701084653702</v>
      </c>
      <c r="AU12" s="116">
        <f>AR12/AI12</f>
        <v>0.91322136158756573</v>
      </c>
      <c r="AV12" s="99">
        <v>58595</v>
      </c>
      <c r="AW12" s="99">
        <v>57980</v>
      </c>
      <c r="AX12" s="99">
        <f>+AV12+AW12</f>
        <v>116575</v>
      </c>
      <c r="AY12" s="99">
        <v>51610</v>
      </c>
      <c r="AZ12" s="99">
        <v>51191</v>
      </c>
      <c r="BA12" s="99">
        <f>+AY12+AZ12</f>
        <v>102801</v>
      </c>
      <c r="BB12" s="104"/>
      <c r="BC12" s="104"/>
      <c r="BD12" s="104"/>
      <c r="BE12" s="99">
        <f t="shared" ref="BE12:BG14" si="134">+AY12+BB12</f>
        <v>51610</v>
      </c>
      <c r="BF12" s="99">
        <f t="shared" si="134"/>
        <v>51191</v>
      </c>
      <c r="BG12" s="99">
        <f t="shared" si="134"/>
        <v>102801</v>
      </c>
      <c r="BH12" s="116">
        <f>BE12/AV12</f>
        <v>0.88079187643996926</v>
      </c>
      <c r="BI12" s="116">
        <f>BF12/AW12</f>
        <v>0.88290789927561231</v>
      </c>
      <c r="BJ12" s="116">
        <f>BG12/AX12</f>
        <v>0.8818443062406176</v>
      </c>
      <c r="BK12" s="98">
        <v>2425</v>
      </c>
      <c r="BL12" s="98">
        <v>1517</v>
      </c>
      <c r="BM12" s="98">
        <f>BK12+BL12</f>
        <v>3942</v>
      </c>
      <c r="BN12" s="99">
        <v>1379</v>
      </c>
      <c r="BO12" s="99">
        <v>964</v>
      </c>
      <c r="BP12" s="99">
        <f>BN12+BO12</f>
        <v>2343</v>
      </c>
      <c r="BQ12" s="104"/>
      <c r="BR12" s="104"/>
      <c r="BS12" s="104"/>
      <c r="BT12" s="99">
        <f>+BN12+BQ12</f>
        <v>1379</v>
      </c>
      <c r="BU12" s="99">
        <f>+BO12+BR12</f>
        <v>964</v>
      </c>
      <c r="BV12" s="99">
        <f>+BP12+BS12</f>
        <v>2343</v>
      </c>
      <c r="BW12" s="116">
        <f>BT12/BK12</f>
        <v>0.56865979381443299</v>
      </c>
      <c r="BX12" s="116">
        <f>BU12/BL12</f>
        <v>0.63546473302570861</v>
      </c>
      <c r="BY12" s="116">
        <f>BV12/BM12</f>
        <v>0.5943683409436834</v>
      </c>
      <c r="BZ12" s="98">
        <f t="shared" ref="BZ12:CE12" si="135">AV12+BK12</f>
        <v>61020</v>
      </c>
      <c r="CA12" s="98">
        <f t="shared" si="135"/>
        <v>59497</v>
      </c>
      <c r="CB12" s="98">
        <f t="shared" si="135"/>
        <v>120517</v>
      </c>
      <c r="CC12" s="98">
        <f t="shared" si="135"/>
        <v>52989</v>
      </c>
      <c r="CD12" s="98">
        <f t="shared" si="135"/>
        <v>52155</v>
      </c>
      <c r="CE12" s="98">
        <f t="shared" si="135"/>
        <v>105144</v>
      </c>
      <c r="CF12" s="103"/>
      <c r="CG12" s="103"/>
      <c r="CH12" s="103"/>
      <c r="CI12" s="98">
        <f t="shared" ref="CI12:CK14" si="136">BE12+BT12</f>
        <v>52989</v>
      </c>
      <c r="CJ12" s="98">
        <f t="shared" si="136"/>
        <v>52155</v>
      </c>
      <c r="CK12" s="98">
        <f t="shared" si="136"/>
        <v>105144</v>
      </c>
      <c r="CL12" s="116">
        <f>CI12/BZ12</f>
        <v>0.86838741396263519</v>
      </c>
      <c r="CM12" s="116">
        <f>CJ12/CA12</f>
        <v>0.87659882010857693</v>
      </c>
      <c r="CN12" s="116">
        <f>CK12/CB12</f>
        <v>0.87244123235726079</v>
      </c>
      <c r="CO12" s="99">
        <v>14898</v>
      </c>
      <c r="CP12" s="99">
        <v>14787</v>
      </c>
      <c r="CQ12" s="99">
        <f>+CO12+CP12</f>
        <v>29685</v>
      </c>
      <c r="CR12" s="99">
        <v>12543</v>
      </c>
      <c r="CS12" s="99">
        <v>12328</v>
      </c>
      <c r="CT12" s="99">
        <f>+CR12+CS12</f>
        <v>24871</v>
      </c>
      <c r="CU12" s="104"/>
      <c r="CV12" s="104"/>
      <c r="CW12" s="104"/>
      <c r="CX12" s="99">
        <f>+CR12+CU12</f>
        <v>12543</v>
      </c>
      <c r="CY12" s="99">
        <f>+CS12+CV12</f>
        <v>12328</v>
      </c>
      <c r="CZ12" s="99">
        <f>+CT12+CW12</f>
        <v>24871</v>
      </c>
      <c r="DA12" s="116">
        <f t="shared" ref="DA12:DC14" si="137">CX12/CO12</f>
        <v>0.84192509061619014</v>
      </c>
      <c r="DB12" s="116">
        <f t="shared" si="137"/>
        <v>0.83370528166632851</v>
      </c>
      <c r="DC12" s="116">
        <f t="shared" si="137"/>
        <v>0.83783055415192853</v>
      </c>
      <c r="DD12" s="98">
        <v>441</v>
      </c>
      <c r="DE12" s="98">
        <v>336</v>
      </c>
      <c r="DF12" s="98">
        <f>DD12+DE12</f>
        <v>777</v>
      </c>
      <c r="DG12" s="99">
        <v>256</v>
      </c>
      <c r="DH12" s="99">
        <v>209</v>
      </c>
      <c r="DI12" s="99">
        <f>+DG12+DH12</f>
        <v>465</v>
      </c>
      <c r="DJ12" s="104"/>
      <c r="DK12" s="104"/>
      <c r="DL12" s="104"/>
      <c r="DM12" s="99">
        <f>+DG12+DJ12</f>
        <v>256</v>
      </c>
      <c r="DN12" s="99">
        <f>+DH12+DK12</f>
        <v>209</v>
      </c>
      <c r="DO12" s="99">
        <f>+DI12+DL12</f>
        <v>465</v>
      </c>
      <c r="DP12" s="116">
        <f t="shared" ref="DP12:DR13" si="138">DM12/DD12</f>
        <v>0.58049886621315194</v>
      </c>
      <c r="DQ12" s="116">
        <f t="shared" si="138"/>
        <v>0.62202380952380953</v>
      </c>
      <c r="DR12" s="116">
        <f t="shared" si="138"/>
        <v>0.59845559845559848</v>
      </c>
      <c r="DS12" s="98">
        <f t="shared" ref="DS12:DX12" si="139">CO12+DD12</f>
        <v>15339</v>
      </c>
      <c r="DT12" s="98">
        <f t="shared" si="139"/>
        <v>15123</v>
      </c>
      <c r="DU12" s="98">
        <f t="shared" si="139"/>
        <v>30462</v>
      </c>
      <c r="DV12" s="98">
        <f t="shared" si="139"/>
        <v>12799</v>
      </c>
      <c r="DW12" s="98">
        <f t="shared" si="139"/>
        <v>12537</v>
      </c>
      <c r="DX12" s="98">
        <f t="shared" si="139"/>
        <v>25336</v>
      </c>
      <c r="DY12" s="103"/>
      <c r="DZ12" s="103"/>
      <c r="EA12" s="103"/>
      <c r="EB12" s="98">
        <f>CX12+DM12</f>
        <v>12799</v>
      </c>
      <c r="EC12" s="98">
        <f>CY12+DN12</f>
        <v>12537</v>
      </c>
      <c r="ED12" s="98">
        <f>CZ12+DO12</f>
        <v>25336</v>
      </c>
      <c r="EE12" s="116">
        <f>EB12/DS12</f>
        <v>0.83440902275246109</v>
      </c>
      <c r="EF12" s="116">
        <f>EC12/DT12</f>
        <v>0.82900218210672483</v>
      </c>
      <c r="EG12" s="116">
        <f>ED12/DU12</f>
        <v>0.8317247718468912</v>
      </c>
      <c r="EH12" s="98">
        <f>+AP12</f>
        <v>294004</v>
      </c>
      <c r="EI12" s="98">
        <f>+AQ12</f>
        <v>274511</v>
      </c>
      <c r="EJ12" s="98">
        <f>+AR12</f>
        <v>568515</v>
      </c>
      <c r="EK12" s="98">
        <v>275181</v>
      </c>
      <c r="EL12" s="98">
        <v>262344</v>
      </c>
      <c r="EM12" s="98">
        <f t="shared" si="96"/>
        <v>537525</v>
      </c>
      <c r="EN12" s="373">
        <f t="shared" ref="EN12" si="140">+EK12*100/EH12</f>
        <v>93.597706153657768</v>
      </c>
      <c r="EO12" s="373">
        <f t="shared" ref="EO12" si="141">+EL12*100/EI12</f>
        <v>95.56775502621025</v>
      </c>
      <c r="EP12" s="373">
        <f t="shared" ref="EP12" si="142">+EM12*100/EJ12</f>
        <v>94.548956491913145</v>
      </c>
      <c r="EQ12" s="98">
        <f>+CI12</f>
        <v>52989</v>
      </c>
      <c r="ER12" s="98">
        <f>+CJ12</f>
        <v>52155</v>
      </c>
      <c r="ES12" s="98">
        <f>+CK12</f>
        <v>105144</v>
      </c>
      <c r="ET12" s="374">
        <v>47638</v>
      </c>
      <c r="EU12" s="374">
        <v>48498</v>
      </c>
      <c r="EV12" s="374">
        <f t="shared" ref="EV12" si="143">ET12+EU12</f>
        <v>96136</v>
      </c>
      <c r="EW12" s="375">
        <f t="shared" ref="EW12" si="144">+ET12*100/EQ12</f>
        <v>89.901677706693846</v>
      </c>
      <c r="EX12" s="375">
        <f t="shared" ref="EX12" si="145">+EU12*100/ER12</f>
        <v>92.988208225481742</v>
      </c>
      <c r="EY12" s="375">
        <f t="shared" ref="EY12" si="146">+EV12*100/ES12</f>
        <v>91.432701818458497</v>
      </c>
      <c r="EZ12" s="98">
        <f>+EB12</f>
        <v>12799</v>
      </c>
      <c r="FA12" s="98">
        <f>+EC12</f>
        <v>12537</v>
      </c>
      <c r="FB12" s="98">
        <f>+ED12</f>
        <v>25336</v>
      </c>
      <c r="FC12" s="374">
        <v>11534</v>
      </c>
      <c r="FD12" s="374">
        <v>11576</v>
      </c>
      <c r="FE12" s="374">
        <f t="shared" ref="FE12" si="147">FC12+FD12</f>
        <v>23110</v>
      </c>
      <c r="FF12" s="375">
        <f t="shared" ref="FF12" si="148">+FC12*100/EZ12</f>
        <v>90.11641534494882</v>
      </c>
      <c r="FG12" s="375">
        <f t="shared" ref="FG12" si="149">+FD12*100/FA12</f>
        <v>92.334689319613943</v>
      </c>
      <c r="FH12" s="375">
        <f t="shared" ref="FH12" si="150">+FE12*100/FB12</f>
        <v>91.214082728133874</v>
      </c>
    </row>
    <row r="13" spans="1:182" ht="27" customHeight="1" x14ac:dyDescent="0.25">
      <c r="A13" s="94">
        <v>4</v>
      </c>
      <c r="B13" s="118" t="s">
        <v>213</v>
      </c>
      <c r="C13" s="96">
        <v>257095</v>
      </c>
      <c r="D13" s="96">
        <v>250843</v>
      </c>
      <c r="E13" s="96">
        <f>C13+D13</f>
        <v>507938</v>
      </c>
      <c r="F13" s="96">
        <v>213264</v>
      </c>
      <c r="G13" s="96">
        <v>214150</v>
      </c>
      <c r="H13" s="96">
        <f>F13+G13</f>
        <v>427414</v>
      </c>
      <c r="I13" s="96">
        <v>29122</v>
      </c>
      <c r="J13" s="96">
        <v>24333</v>
      </c>
      <c r="K13" s="96">
        <f>I13+J13</f>
        <v>53455</v>
      </c>
      <c r="L13" s="97">
        <f t="shared" si="129"/>
        <v>242386</v>
      </c>
      <c r="M13" s="98">
        <f t="shared" si="129"/>
        <v>238483</v>
      </c>
      <c r="N13" s="98">
        <f t="shared" si="129"/>
        <v>480869</v>
      </c>
      <c r="O13" s="116">
        <f t="shared" ref="O13" si="151">L13/C13</f>
        <v>0.94278768548590985</v>
      </c>
      <c r="P13" s="116">
        <f>M13/D13</f>
        <v>0.95072615141742045</v>
      </c>
      <c r="Q13" s="116">
        <f>N13/E13</f>
        <v>0.94670806279506559</v>
      </c>
      <c r="R13" s="98">
        <v>16034</v>
      </c>
      <c r="S13" s="98">
        <v>9729</v>
      </c>
      <c r="T13" s="98">
        <f>R13+S13</f>
        <v>25763</v>
      </c>
      <c r="U13" s="98">
        <v>5466</v>
      </c>
      <c r="V13" s="98">
        <v>3788</v>
      </c>
      <c r="W13" s="98">
        <f>U13+V13</f>
        <v>9254</v>
      </c>
      <c r="X13" s="103"/>
      <c r="Y13" s="103"/>
      <c r="Z13" s="103"/>
      <c r="AA13" s="98">
        <f t="shared" si="130"/>
        <v>5466</v>
      </c>
      <c r="AB13" s="98">
        <f t="shared" si="130"/>
        <v>3788</v>
      </c>
      <c r="AC13" s="98">
        <f t="shared" si="130"/>
        <v>9254</v>
      </c>
      <c r="AD13" s="116">
        <f t="shared" si="131"/>
        <v>0.34090058625420983</v>
      </c>
      <c r="AE13" s="116">
        <f t="shared" si="131"/>
        <v>0.38935142357899066</v>
      </c>
      <c r="AF13" s="116">
        <f t="shared" si="131"/>
        <v>0.3591972984512673</v>
      </c>
      <c r="AG13" s="98">
        <f t="shared" ref="AG13" si="152">C13+R13</f>
        <v>273129</v>
      </c>
      <c r="AH13" s="98">
        <f t="shared" ref="AH13:AO14" si="153">D13+S13</f>
        <v>260572</v>
      </c>
      <c r="AI13" s="98">
        <f t="shared" si="153"/>
        <v>533701</v>
      </c>
      <c r="AJ13" s="98">
        <f t="shared" si="153"/>
        <v>218730</v>
      </c>
      <c r="AK13" s="98">
        <f t="shared" si="153"/>
        <v>217938</v>
      </c>
      <c r="AL13" s="98">
        <f t="shared" si="153"/>
        <v>436668</v>
      </c>
      <c r="AM13" s="98">
        <f t="shared" si="153"/>
        <v>29122</v>
      </c>
      <c r="AN13" s="98">
        <f t="shared" si="153"/>
        <v>24333</v>
      </c>
      <c r="AO13" s="98">
        <f t="shared" si="153"/>
        <v>53455</v>
      </c>
      <c r="AP13" s="98">
        <f t="shared" si="133"/>
        <v>247852</v>
      </c>
      <c r="AQ13" s="98">
        <f t="shared" si="133"/>
        <v>242271</v>
      </c>
      <c r="AR13" s="98">
        <f t="shared" si="133"/>
        <v>490123</v>
      </c>
      <c r="AS13" s="116">
        <f t="shared" ref="AS13" si="154">AP13/AG13</f>
        <v>0.90745398694389834</v>
      </c>
      <c r="AT13" s="116">
        <f>AQ13/AH13</f>
        <v>0.92976605314462024</v>
      </c>
      <c r="AU13" s="116">
        <f>AR13/AI13</f>
        <v>0.91834753916518796</v>
      </c>
      <c r="AV13" s="99">
        <v>44539</v>
      </c>
      <c r="AW13" s="99">
        <v>45083</v>
      </c>
      <c r="AX13" s="99">
        <f>+AV13+AW13</f>
        <v>89622</v>
      </c>
      <c r="AY13" s="99">
        <v>35489</v>
      </c>
      <c r="AZ13" s="99">
        <v>37046</v>
      </c>
      <c r="BA13" s="99">
        <f>+AY13+AZ13</f>
        <v>72535</v>
      </c>
      <c r="BB13" s="99">
        <v>5852</v>
      </c>
      <c r="BC13" s="99">
        <v>5331</v>
      </c>
      <c r="BD13" s="99">
        <f>+BB13+BC13</f>
        <v>11183</v>
      </c>
      <c r="BE13" s="99">
        <f t="shared" si="134"/>
        <v>41341</v>
      </c>
      <c r="BF13" s="99">
        <f t="shared" si="134"/>
        <v>42377</v>
      </c>
      <c r="BG13" s="99">
        <f t="shared" si="134"/>
        <v>83718</v>
      </c>
      <c r="BH13" s="116">
        <f t="shared" ref="BH13" si="155">BE13/AV13</f>
        <v>0.92819775926715908</v>
      </c>
      <c r="BI13" s="116">
        <f>BF13/AW13</f>
        <v>0.93997737506377121</v>
      </c>
      <c r="BJ13" s="116">
        <f>BG13/AX13</f>
        <v>0.93412331793532843</v>
      </c>
      <c r="BK13" s="98">
        <v>3295</v>
      </c>
      <c r="BL13" s="98">
        <v>2173</v>
      </c>
      <c r="BM13" s="98">
        <f>BK13+BL13</f>
        <v>5468</v>
      </c>
      <c r="BN13" s="99">
        <v>1099</v>
      </c>
      <c r="BO13" s="99">
        <v>768</v>
      </c>
      <c r="BP13" s="99">
        <f>BN13+BO13</f>
        <v>1867</v>
      </c>
      <c r="BQ13" s="104"/>
      <c r="BR13" s="104"/>
      <c r="BS13" s="104"/>
      <c r="BT13" s="99">
        <f>+BN13+BQ13</f>
        <v>1099</v>
      </c>
      <c r="BU13" s="99">
        <f t="shared" ref="BU13" si="156">+BO13+BR13</f>
        <v>768</v>
      </c>
      <c r="BV13" s="99">
        <f t="shared" ref="BV13" si="157">+BP13+BS13</f>
        <v>1867</v>
      </c>
      <c r="BW13" s="116">
        <f t="shared" ref="BW13" si="158">BT13/BK13</f>
        <v>0.33353566009104701</v>
      </c>
      <c r="BX13" s="116">
        <f>BU13/BL13</f>
        <v>0.3534284399447768</v>
      </c>
      <c r="BY13" s="116">
        <f>BV13/BM13</f>
        <v>0.34144111192392101</v>
      </c>
      <c r="BZ13" s="98">
        <f t="shared" ref="BZ13" si="159">AV13+BK13</f>
        <v>47834</v>
      </c>
      <c r="CA13" s="98">
        <f t="shared" ref="CA13" si="160">AW13+BL13</f>
        <v>47256</v>
      </c>
      <c r="CB13" s="98">
        <f>AX13+BM13</f>
        <v>95090</v>
      </c>
      <c r="CC13" s="98">
        <f t="shared" ref="CC13" si="161">AY13+BN13</f>
        <v>36588</v>
      </c>
      <c r="CD13" s="98">
        <f t="shared" ref="CD13" si="162">AZ13+BO13</f>
        <v>37814</v>
      </c>
      <c r="CE13" s="98">
        <f>BA13+BP13</f>
        <v>74402</v>
      </c>
      <c r="CF13" s="98">
        <f t="shared" ref="CF13" si="163">BB13+BQ13</f>
        <v>5852</v>
      </c>
      <c r="CG13" s="98">
        <f t="shared" ref="CG13" si="164">BC13+BR13</f>
        <v>5331</v>
      </c>
      <c r="CH13" s="98">
        <f>BD13+BS13</f>
        <v>11183</v>
      </c>
      <c r="CI13" s="98">
        <f t="shared" si="136"/>
        <v>42440</v>
      </c>
      <c r="CJ13" s="98">
        <f t="shared" si="136"/>
        <v>43145</v>
      </c>
      <c r="CK13" s="98">
        <f t="shared" si="136"/>
        <v>85585</v>
      </c>
      <c r="CL13" s="116">
        <f t="shared" ref="CL13" si="165">CI13/BZ13</f>
        <v>0.88723502111468833</v>
      </c>
      <c r="CM13" s="116">
        <f t="shared" ref="CM13" si="166">CJ13/CA13</f>
        <v>0.91300575588285082</v>
      </c>
      <c r="CN13" s="116">
        <f t="shared" ref="CN13" si="167">CK13/CB13</f>
        <v>0.90004206541171516</v>
      </c>
      <c r="CO13" s="99">
        <v>25213</v>
      </c>
      <c r="CP13" s="99">
        <v>24041</v>
      </c>
      <c r="CQ13" s="99">
        <f>+CO13+CP13</f>
        <v>49254</v>
      </c>
      <c r="CR13" s="99">
        <v>20652</v>
      </c>
      <c r="CS13" s="99">
        <v>19558</v>
      </c>
      <c r="CT13" s="99">
        <f>+CR13+CS13</f>
        <v>40210</v>
      </c>
      <c r="CU13" s="99">
        <v>2692</v>
      </c>
      <c r="CV13" s="99">
        <v>2629</v>
      </c>
      <c r="CW13" s="99">
        <f>+CU13+CV13</f>
        <v>5321</v>
      </c>
      <c r="CX13" s="99">
        <f t="shared" ref="CX13" si="168">+CR13+CU13</f>
        <v>23344</v>
      </c>
      <c r="CY13" s="99">
        <f>+CS13+CV13</f>
        <v>22187</v>
      </c>
      <c r="CZ13" s="99">
        <f>+CT13+CW13</f>
        <v>45531</v>
      </c>
      <c r="DA13" s="116">
        <f t="shared" si="137"/>
        <v>0.92587157418791888</v>
      </c>
      <c r="DB13" s="116">
        <f t="shared" si="137"/>
        <v>0.92288174368786657</v>
      </c>
      <c r="DC13" s="116">
        <f t="shared" si="137"/>
        <v>0.92441223047874288</v>
      </c>
      <c r="DD13" s="98">
        <v>1450</v>
      </c>
      <c r="DE13" s="98">
        <v>1086</v>
      </c>
      <c r="DF13" s="98">
        <f>DD13+DE13</f>
        <v>2536</v>
      </c>
      <c r="DG13" s="99">
        <v>519</v>
      </c>
      <c r="DH13" s="99">
        <v>370</v>
      </c>
      <c r="DI13" s="99">
        <f>+DG13+DH13</f>
        <v>889</v>
      </c>
      <c r="DJ13" s="104"/>
      <c r="DK13" s="104"/>
      <c r="DL13" s="104"/>
      <c r="DM13" s="99">
        <f t="shared" ref="DM13" si="169">+DG13+DJ13</f>
        <v>519</v>
      </c>
      <c r="DN13" s="99">
        <f>+DH13+DK13</f>
        <v>370</v>
      </c>
      <c r="DO13" s="99">
        <f>+DI13+DL13</f>
        <v>889</v>
      </c>
      <c r="DP13" s="116">
        <f t="shared" si="138"/>
        <v>0.35793103448275865</v>
      </c>
      <c r="DQ13" s="116">
        <f t="shared" si="138"/>
        <v>0.3406998158379374</v>
      </c>
      <c r="DR13" s="116">
        <f t="shared" si="138"/>
        <v>0.35055205047318611</v>
      </c>
      <c r="DS13" s="98">
        <f t="shared" ref="DS13:DU14" si="170">CO13+DD13</f>
        <v>26663</v>
      </c>
      <c r="DT13" s="98">
        <f t="shared" si="170"/>
        <v>25127</v>
      </c>
      <c r="DU13" s="98">
        <f t="shared" si="170"/>
        <v>51790</v>
      </c>
      <c r="DV13" s="98">
        <f t="shared" ref="DV13" si="171">CR13+DG13</f>
        <v>21171</v>
      </c>
      <c r="DW13" s="98">
        <f t="shared" ref="DW13" si="172">CS13+DH13</f>
        <v>19928</v>
      </c>
      <c r="DX13" s="98">
        <f>CT13+DI13</f>
        <v>41099</v>
      </c>
      <c r="DY13" s="98">
        <f t="shared" ref="DY13" si="173">CU13+DJ13</f>
        <v>2692</v>
      </c>
      <c r="DZ13" s="98">
        <f t="shared" ref="DZ13" si="174">CV13+DK13</f>
        <v>2629</v>
      </c>
      <c r="EA13" s="98">
        <f>CW13+DL13</f>
        <v>5321</v>
      </c>
      <c r="EB13" s="98">
        <f t="shared" ref="EB13" si="175">CX13+DM13</f>
        <v>23863</v>
      </c>
      <c r="EC13" s="98">
        <f t="shared" ref="EC13" si="176">CY13+DN13</f>
        <v>22557</v>
      </c>
      <c r="ED13" s="98">
        <f>CZ13+DO13</f>
        <v>46420</v>
      </c>
      <c r="EE13" s="116">
        <f t="shared" ref="EE13" si="177">EB13/DS13</f>
        <v>0.89498556051457079</v>
      </c>
      <c r="EF13" s="116">
        <f t="shared" ref="EF13" si="178">EC13/DT13</f>
        <v>0.89771958451068568</v>
      </c>
      <c r="EG13" s="116">
        <f>ED13/DU13</f>
        <v>0.89631202934929521</v>
      </c>
      <c r="EH13" s="98">
        <f t="shared" ref="EH13" si="179">+AP13</f>
        <v>247852</v>
      </c>
      <c r="EI13" s="98">
        <f>+AQ13</f>
        <v>242271</v>
      </c>
      <c r="EJ13" s="98">
        <f>+AR13</f>
        <v>490123</v>
      </c>
      <c r="EK13" s="103"/>
      <c r="EL13" s="103"/>
      <c r="EM13" s="103"/>
      <c r="EN13" s="103"/>
      <c r="EO13" s="103"/>
      <c r="EP13" s="103"/>
      <c r="EQ13" s="98">
        <f t="shared" ref="EQ13" si="180">+CI13</f>
        <v>42440</v>
      </c>
      <c r="ER13" s="98">
        <f>+CJ13</f>
        <v>43145</v>
      </c>
      <c r="ES13" s="98">
        <f>+CK13</f>
        <v>85585</v>
      </c>
      <c r="ET13" s="103"/>
      <c r="EU13" s="103"/>
      <c r="EV13" s="103"/>
      <c r="EW13" s="110"/>
      <c r="EX13" s="110"/>
      <c r="EY13" s="110"/>
      <c r="EZ13" s="98">
        <f t="shared" ref="EZ13" si="181">+EB13</f>
        <v>23863</v>
      </c>
      <c r="FA13" s="98">
        <f>+EC13</f>
        <v>22557</v>
      </c>
      <c r="FB13" s="98">
        <f>+ED13</f>
        <v>46420</v>
      </c>
      <c r="FC13" s="103"/>
      <c r="FD13" s="103"/>
      <c r="FE13" s="103"/>
      <c r="FF13" s="110"/>
      <c r="FG13" s="110"/>
      <c r="FH13" s="110"/>
    </row>
    <row r="14" spans="1:182" ht="27" customHeight="1" x14ac:dyDescent="0.25">
      <c r="A14" s="94">
        <v>5</v>
      </c>
      <c r="B14" s="118" t="s">
        <v>134</v>
      </c>
      <c r="C14" s="96">
        <v>188722</v>
      </c>
      <c r="D14" s="96">
        <v>194034</v>
      </c>
      <c r="E14" s="96">
        <f>C14+D14</f>
        <v>382756</v>
      </c>
      <c r="F14" s="96">
        <v>93479</v>
      </c>
      <c r="G14" s="96">
        <v>90464</v>
      </c>
      <c r="H14" s="96">
        <f>F14+G14</f>
        <v>183943</v>
      </c>
      <c r="I14" s="96">
        <v>17722</v>
      </c>
      <c r="J14" s="96">
        <v>16531</v>
      </c>
      <c r="K14" s="96">
        <f>I14+J14</f>
        <v>34253</v>
      </c>
      <c r="L14" s="97">
        <f t="shared" si="129"/>
        <v>111201</v>
      </c>
      <c r="M14" s="98">
        <f t="shared" si="129"/>
        <v>106995</v>
      </c>
      <c r="N14" s="98">
        <f t="shared" si="129"/>
        <v>218196</v>
      </c>
      <c r="O14" s="116">
        <f>L14/C14</f>
        <v>0.58923178007863419</v>
      </c>
      <c r="P14" s="116">
        <f>M14/D14</f>
        <v>0.55142397724110204</v>
      </c>
      <c r="Q14" s="116">
        <f>N14/E14</f>
        <v>0.57006552477296246</v>
      </c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12"/>
      <c r="AE14" s="112"/>
      <c r="AF14" s="112"/>
      <c r="AG14" s="98">
        <f>C14+R14</f>
        <v>188722</v>
      </c>
      <c r="AH14" s="98">
        <f t="shared" si="153"/>
        <v>194034</v>
      </c>
      <c r="AI14" s="98">
        <f t="shared" si="153"/>
        <v>382756</v>
      </c>
      <c r="AJ14" s="98">
        <f t="shared" si="153"/>
        <v>93479</v>
      </c>
      <c r="AK14" s="98">
        <f t="shared" si="153"/>
        <v>90464</v>
      </c>
      <c r="AL14" s="98">
        <f t="shared" si="153"/>
        <v>183943</v>
      </c>
      <c r="AM14" s="98">
        <f t="shared" si="153"/>
        <v>17722</v>
      </c>
      <c r="AN14" s="98">
        <f t="shared" si="153"/>
        <v>16531</v>
      </c>
      <c r="AO14" s="98">
        <f t="shared" si="153"/>
        <v>34253</v>
      </c>
      <c r="AP14" s="98">
        <f t="shared" si="133"/>
        <v>111201</v>
      </c>
      <c r="AQ14" s="98">
        <f t="shared" si="133"/>
        <v>106995</v>
      </c>
      <c r="AR14" s="98">
        <f t="shared" si="133"/>
        <v>218196</v>
      </c>
      <c r="AS14" s="116">
        <f>AP14/AG14</f>
        <v>0.58923178007863419</v>
      </c>
      <c r="AT14" s="116">
        <f>AQ14/AH14</f>
        <v>0.55142397724110204</v>
      </c>
      <c r="AU14" s="116">
        <f>AR14/AI14</f>
        <v>0.57006552477296246</v>
      </c>
      <c r="AV14" s="99">
        <v>17883</v>
      </c>
      <c r="AW14" s="99">
        <v>18381</v>
      </c>
      <c r="AX14" s="99">
        <f>+AV14+AW14</f>
        <v>36264</v>
      </c>
      <c r="AY14" s="99">
        <v>7656</v>
      </c>
      <c r="AZ14" s="99">
        <v>7191</v>
      </c>
      <c r="BA14" s="99">
        <f>+AY14+AZ14</f>
        <v>14847</v>
      </c>
      <c r="BB14" s="99">
        <v>1889</v>
      </c>
      <c r="BC14" s="99">
        <v>1770</v>
      </c>
      <c r="BD14" s="99">
        <f>+BB14+BC14</f>
        <v>3659</v>
      </c>
      <c r="BE14" s="99">
        <f t="shared" si="134"/>
        <v>9545</v>
      </c>
      <c r="BF14" s="99">
        <f t="shared" si="134"/>
        <v>8961</v>
      </c>
      <c r="BG14" s="99">
        <f t="shared" si="134"/>
        <v>18506</v>
      </c>
      <c r="BH14" s="116">
        <f>BE14/AV14</f>
        <v>0.53374713414975117</v>
      </c>
      <c r="BI14" s="116">
        <f>BF14/AW14</f>
        <v>0.48751428105108535</v>
      </c>
      <c r="BJ14" s="116">
        <f>BG14/AX14</f>
        <v>0.51031325832781826</v>
      </c>
      <c r="BK14" s="103"/>
      <c r="BL14" s="103"/>
      <c r="BM14" s="103"/>
      <c r="BN14" s="104"/>
      <c r="BO14" s="104"/>
      <c r="BP14" s="104"/>
      <c r="BQ14" s="104"/>
      <c r="BR14" s="104"/>
      <c r="BS14" s="104"/>
      <c r="BT14" s="104"/>
      <c r="BU14" s="104"/>
      <c r="BV14" s="104"/>
      <c r="BW14" s="112"/>
      <c r="BX14" s="112"/>
      <c r="BY14" s="112"/>
      <c r="BZ14" s="98">
        <f>AV14+BK14</f>
        <v>17883</v>
      </c>
      <c r="CA14" s="98">
        <f>AW14+BL14</f>
        <v>18381</v>
      </c>
      <c r="CB14" s="98">
        <f>AX14+BM14</f>
        <v>36264</v>
      </c>
      <c r="CC14" s="98">
        <f>AY14+BN14</f>
        <v>7656</v>
      </c>
      <c r="CD14" s="98">
        <f>AZ14+BO14</f>
        <v>7191</v>
      </c>
      <c r="CE14" s="98">
        <f>BA14+BP14</f>
        <v>14847</v>
      </c>
      <c r="CF14" s="98">
        <f>BB14+BQ14</f>
        <v>1889</v>
      </c>
      <c r="CG14" s="98">
        <f>BC14+BR14</f>
        <v>1770</v>
      </c>
      <c r="CH14" s="98">
        <f>BD14+BS14</f>
        <v>3659</v>
      </c>
      <c r="CI14" s="98">
        <f t="shared" si="136"/>
        <v>9545</v>
      </c>
      <c r="CJ14" s="98">
        <f t="shared" si="136"/>
        <v>8961</v>
      </c>
      <c r="CK14" s="98">
        <f t="shared" si="136"/>
        <v>18506</v>
      </c>
      <c r="CL14" s="116">
        <f>CI14/BZ14</f>
        <v>0.53374713414975117</v>
      </c>
      <c r="CM14" s="116">
        <f>CJ14/CA14</f>
        <v>0.48751428105108535</v>
      </c>
      <c r="CN14" s="116">
        <f>CK14/CB14</f>
        <v>0.51031325832781826</v>
      </c>
      <c r="CO14" s="99">
        <v>37511</v>
      </c>
      <c r="CP14" s="99">
        <v>37393</v>
      </c>
      <c r="CQ14" s="99">
        <f>+CO14+CP14</f>
        <v>74904</v>
      </c>
      <c r="CR14" s="99">
        <v>15255</v>
      </c>
      <c r="CS14" s="99">
        <v>14072</v>
      </c>
      <c r="CT14" s="99">
        <f>+CR14+CS14</f>
        <v>29327</v>
      </c>
      <c r="CU14" s="99">
        <v>4510</v>
      </c>
      <c r="CV14" s="99">
        <v>3957</v>
      </c>
      <c r="CW14" s="99">
        <f>+CU14+CV14</f>
        <v>8467</v>
      </c>
      <c r="CX14" s="99">
        <f>+CR14+CU14</f>
        <v>19765</v>
      </c>
      <c r="CY14" s="99">
        <f>+CS14+CV14</f>
        <v>18029</v>
      </c>
      <c r="CZ14" s="99">
        <f>+CT14+CW14</f>
        <v>37794</v>
      </c>
      <c r="DA14" s="116">
        <f t="shared" si="137"/>
        <v>0.52691210578230385</v>
      </c>
      <c r="DB14" s="116">
        <f t="shared" si="137"/>
        <v>0.48214906533308372</v>
      </c>
      <c r="DC14" s="116">
        <f t="shared" si="137"/>
        <v>0.5045658442806793</v>
      </c>
      <c r="DD14" s="103"/>
      <c r="DE14" s="103"/>
      <c r="DF14" s="103"/>
      <c r="DG14" s="104"/>
      <c r="DH14" s="104"/>
      <c r="DI14" s="104"/>
      <c r="DJ14" s="104"/>
      <c r="DK14" s="104"/>
      <c r="DL14" s="104"/>
      <c r="DM14" s="104"/>
      <c r="DN14" s="104"/>
      <c r="DO14" s="104"/>
      <c r="DP14" s="112"/>
      <c r="DQ14" s="112"/>
      <c r="DR14" s="112"/>
      <c r="DS14" s="98">
        <f t="shared" si="170"/>
        <v>37511</v>
      </c>
      <c r="DT14" s="98">
        <f t="shared" si="170"/>
        <v>37393</v>
      </c>
      <c r="DU14" s="98">
        <f t="shared" si="170"/>
        <v>74904</v>
      </c>
      <c r="DV14" s="98">
        <f>CR14+DG14</f>
        <v>15255</v>
      </c>
      <c r="DW14" s="98">
        <f>CS14+DH14</f>
        <v>14072</v>
      </c>
      <c r="DX14" s="98">
        <f>CT14+DI14</f>
        <v>29327</v>
      </c>
      <c r="DY14" s="98">
        <f>CU14+DJ14</f>
        <v>4510</v>
      </c>
      <c r="DZ14" s="98">
        <f>CV14+DK14</f>
        <v>3957</v>
      </c>
      <c r="EA14" s="98">
        <f>CW14+DL14</f>
        <v>8467</v>
      </c>
      <c r="EB14" s="98">
        <f>CX14+DM14</f>
        <v>19765</v>
      </c>
      <c r="EC14" s="98">
        <f>CY14+DN14</f>
        <v>18029</v>
      </c>
      <c r="ED14" s="98">
        <f>CZ14+DO14</f>
        <v>37794</v>
      </c>
      <c r="EE14" s="116">
        <f>EB14/DS14</f>
        <v>0.52691210578230385</v>
      </c>
      <c r="EF14" s="116">
        <f>EC14/DT14</f>
        <v>0.48214906533308372</v>
      </c>
      <c r="EG14" s="116">
        <f>ED14/DU14</f>
        <v>0.5045658442806793</v>
      </c>
      <c r="EH14" s="98">
        <f>+AP14</f>
        <v>111201</v>
      </c>
      <c r="EI14" s="98">
        <f>+AQ14</f>
        <v>106995</v>
      </c>
      <c r="EJ14" s="98">
        <f>+AR14</f>
        <v>218196</v>
      </c>
      <c r="EK14" s="98">
        <v>25995</v>
      </c>
      <c r="EL14" s="98">
        <v>30514</v>
      </c>
      <c r="EM14" s="98">
        <f>EK14+EL14</f>
        <v>56509</v>
      </c>
      <c r="EN14" s="100">
        <f>+EK14*100/EH14</f>
        <v>23.376588340032914</v>
      </c>
      <c r="EO14" s="100">
        <f>+EL14*100/EI14</f>
        <v>28.519089677087713</v>
      </c>
      <c r="EP14" s="100">
        <f>+EM14*100/EJ14</f>
        <v>25.898274945461878</v>
      </c>
      <c r="EQ14" s="98">
        <f>+CI14</f>
        <v>9545</v>
      </c>
      <c r="ER14" s="98">
        <f>+CJ14</f>
        <v>8961</v>
      </c>
      <c r="ES14" s="98">
        <f>+CK14</f>
        <v>18506</v>
      </c>
      <c r="ET14" s="98">
        <v>1922</v>
      </c>
      <c r="EU14" s="98">
        <v>1726</v>
      </c>
      <c r="EV14" s="98">
        <f>ET14+EU14</f>
        <v>3648</v>
      </c>
      <c r="EW14" s="100">
        <f>+ET14*100/EQ14</f>
        <v>20.136196961760085</v>
      </c>
      <c r="EX14" s="100">
        <f>+EU14*100/ER14</f>
        <v>19.261243164825355</v>
      </c>
      <c r="EY14" s="100">
        <f>+EV14*100/ES14</f>
        <v>19.71252566735113</v>
      </c>
      <c r="EZ14" s="98">
        <f>+EB14</f>
        <v>19765</v>
      </c>
      <c r="FA14" s="98">
        <f>+EC14</f>
        <v>18029</v>
      </c>
      <c r="FB14" s="98">
        <f>+ED14</f>
        <v>37794</v>
      </c>
      <c r="FC14" s="98">
        <v>3797</v>
      </c>
      <c r="FD14" s="98">
        <v>3250</v>
      </c>
      <c r="FE14" s="98">
        <f>FC14+FD14</f>
        <v>7047</v>
      </c>
      <c r="FF14" s="100">
        <f>+FC14*100/EZ14</f>
        <v>19.210726030862634</v>
      </c>
      <c r="FG14" s="100">
        <f>+FD14*100/FA14</f>
        <v>18.026512840423763</v>
      </c>
      <c r="FH14" s="100">
        <f>+FE14*100/FB14</f>
        <v>18.645816796316875</v>
      </c>
    </row>
    <row r="15" spans="1:182" ht="27" customHeight="1" x14ac:dyDescent="0.25">
      <c r="A15" s="94">
        <v>6</v>
      </c>
      <c r="B15" s="118" t="s">
        <v>315</v>
      </c>
      <c r="C15" s="96">
        <v>22</v>
      </c>
      <c r="D15" s="96">
        <v>232</v>
      </c>
      <c r="E15" s="96">
        <f t="shared" ref="E15:E43" si="182">C15+D15</f>
        <v>254</v>
      </c>
      <c r="F15" s="96">
        <v>22</v>
      </c>
      <c r="G15" s="96">
        <v>230</v>
      </c>
      <c r="H15" s="96">
        <f t="shared" ref="H15:H43" si="183">F15+G15</f>
        <v>252</v>
      </c>
      <c r="I15" s="104"/>
      <c r="J15" s="104"/>
      <c r="K15" s="104"/>
      <c r="L15" s="97">
        <f t="shared" ref="L15:L16" si="184">F15+I15</f>
        <v>22</v>
      </c>
      <c r="M15" s="98">
        <f t="shared" ref="M15:M16" si="185">G15+J15</f>
        <v>230</v>
      </c>
      <c r="N15" s="98">
        <f t="shared" ref="N15:N16" si="186">H15+K15</f>
        <v>252</v>
      </c>
      <c r="O15" s="116">
        <f t="shared" ref="O15:O41" si="187">L15/C15</f>
        <v>1</v>
      </c>
      <c r="P15" s="116">
        <f t="shared" ref="P15:P43" si="188">M15/D15</f>
        <v>0.99137931034482762</v>
      </c>
      <c r="Q15" s="116">
        <f t="shared" ref="Q15:Q43" si="189">N15/E15</f>
        <v>0.99212598425196852</v>
      </c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12"/>
      <c r="AE15" s="112"/>
      <c r="AF15" s="112"/>
      <c r="AG15" s="98">
        <f t="shared" ref="AG15:AG43" si="190">C15+R15</f>
        <v>22</v>
      </c>
      <c r="AH15" s="98">
        <f t="shared" ref="AH15:AI43" si="191">D15+S15</f>
        <v>232</v>
      </c>
      <c r="AI15" s="98">
        <f t="shared" ref="AI15:AR23" si="192">E15+T15</f>
        <v>254</v>
      </c>
      <c r="AJ15" s="98">
        <f t="shared" ref="AJ15:AJ43" si="193">F15+U15</f>
        <v>22</v>
      </c>
      <c r="AK15" s="98">
        <f t="shared" ref="AK15:AL43" si="194">G15+V15</f>
        <v>230</v>
      </c>
      <c r="AL15" s="98">
        <f t="shared" si="192"/>
        <v>252</v>
      </c>
      <c r="AM15" s="103"/>
      <c r="AN15" s="103"/>
      <c r="AO15" s="103"/>
      <c r="AP15" s="98">
        <f t="shared" ref="AP15:AP43" si="195">L15+AA15</f>
        <v>22</v>
      </c>
      <c r="AQ15" s="98">
        <f t="shared" ref="AQ15:AR43" si="196">M15+AB15</f>
        <v>230</v>
      </c>
      <c r="AR15" s="98">
        <f t="shared" si="192"/>
        <v>252</v>
      </c>
      <c r="AS15" s="116">
        <f t="shared" ref="AS15:AS43" si="197">AP15/AG15</f>
        <v>1</v>
      </c>
      <c r="AT15" s="116">
        <f t="shared" ref="AT15:AT43" si="198">AQ15/AH15</f>
        <v>0.99137931034482762</v>
      </c>
      <c r="AU15" s="116">
        <f t="shared" ref="AU15:AU43" si="199">AR15/AI15</f>
        <v>0.99212598425196852</v>
      </c>
      <c r="AV15" s="99">
        <v>1</v>
      </c>
      <c r="AW15" s="99">
        <v>4</v>
      </c>
      <c r="AX15" s="99">
        <f t="shared" ref="AX15:AX43" si="200">+AV15+AW15</f>
        <v>5</v>
      </c>
      <c r="AY15" s="99">
        <v>1</v>
      </c>
      <c r="AZ15" s="99">
        <v>4</v>
      </c>
      <c r="BA15" s="99">
        <f t="shared" ref="BA15:BA43" si="201">+AY15+AZ15</f>
        <v>5</v>
      </c>
      <c r="BB15" s="104"/>
      <c r="BC15" s="104"/>
      <c r="BD15" s="104"/>
      <c r="BE15" s="99">
        <f t="shared" ref="BE15:BE43" si="202">+AY15+BB15</f>
        <v>1</v>
      </c>
      <c r="BF15" s="99">
        <f t="shared" ref="BF15:BG43" si="203">+AZ15+BC15</f>
        <v>4</v>
      </c>
      <c r="BG15" s="99">
        <f t="shared" ref="BG15:BG23" si="204">+BA15+BD15</f>
        <v>5</v>
      </c>
      <c r="BH15" s="116">
        <f t="shared" ref="BH15:BH43" si="205">BE15/AV15</f>
        <v>1</v>
      </c>
      <c r="BI15" s="116">
        <f t="shared" ref="BI15:BI43" si="206">BF15/AW15</f>
        <v>1</v>
      </c>
      <c r="BJ15" s="116">
        <f t="shared" ref="BJ15:BJ43" si="207">BG15/AX15</f>
        <v>1</v>
      </c>
      <c r="BK15" s="111"/>
      <c r="BL15" s="111"/>
      <c r="BM15" s="103"/>
      <c r="BN15" s="104"/>
      <c r="BO15" s="104"/>
      <c r="BP15" s="104"/>
      <c r="BQ15" s="104"/>
      <c r="BR15" s="104"/>
      <c r="BS15" s="104"/>
      <c r="BT15" s="104"/>
      <c r="BU15" s="104"/>
      <c r="BV15" s="104"/>
      <c r="BW15" s="112"/>
      <c r="BX15" s="112"/>
      <c r="BY15" s="112"/>
      <c r="BZ15" s="98">
        <f t="shared" ref="BZ15:BZ23" si="208">AV15+BK15</f>
        <v>1</v>
      </c>
      <c r="CA15" s="98">
        <f t="shared" ref="CA15:CA23" si="209">AW15+BL15</f>
        <v>4</v>
      </c>
      <c r="CB15" s="98">
        <f t="shared" ref="CB15:CB23" si="210">AX15+BM15</f>
        <v>5</v>
      </c>
      <c r="CC15" s="98">
        <f t="shared" ref="CC15:CC43" si="211">AY15+BN15</f>
        <v>1</v>
      </c>
      <c r="CD15" s="98">
        <f t="shared" ref="CD15:CD43" si="212">AZ15+BO15</f>
        <v>4</v>
      </c>
      <c r="CE15" s="98">
        <f t="shared" ref="CE15:CE43" si="213">BA15+BP15</f>
        <v>5</v>
      </c>
      <c r="CF15" s="103"/>
      <c r="CG15" s="103"/>
      <c r="CH15" s="103"/>
      <c r="CI15" s="98">
        <f t="shared" ref="CI15:CI16" si="214">BE15+BT15</f>
        <v>1</v>
      </c>
      <c r="CJ15" s="98">
        <f t="shared" ref="CJ15:CJ16" si="215">BF15+BU15</f>
        <v>4</v>
      </c>
      <c r="CK15" s="98">
        <f t="shared" ref="CK15:CK16" si="216">BG15+BV15</f>
        <v>5</v>
      </c>
      <c r="CL15" s="116">
        <f t="shared" ref="CL15:CL16" si="217">CI15/BZ15</f>
        <v>1</v>
      </c>
      <c r="CM15" s="116">
        <f t="shared" ref="CM15:CM43" si="218">CJ15/CA15</f>
        <v>1</v>
      </c>
      <c r="CN15" s="116">
        <f t="shared" ref="CN15:CN43" si="219">CK15/CB15</f>
        <v>1</v>
      </c>
      <c r="CO15" s="99">
        <v>0</v>
      </c>
      <c r="CP15" s="99">
        <v>9</v>
      </c>
      <c r="CQ15" s="99">
        <f t="shared" ref="CQ15:CQ43" si="220">+CO15+CP15</f>
        <v>9</v>
      </c>
      <c r="CR15" s="99">
        <v>0</v>
      </c>
      <c r="CS15" s="99">
        <v>9</v>
      </c>
      <c r="CT15" s="99">
        <f t="shared" ref="CT15:CT43" si="221">+CR15+CS15</f>
        <v>9</v>
      </c>
      <c r="CU15" s="104"/>
      <c r="CV15" s="104"/>
      <c r="CW15" s="104"/>
      <c r="CX15" s="99">
        <f t="shared" ref="CX15:CX43" si="222">+CR15+CU15</f>
        <v>0</v>
      </c>
      <c r="CY15" s="99">
        <f t="shared" ref="CY15:CZ43" si="223">+CS15+CV15</f>
        <v>9</v>
      </c>
      <c r="CZ15" s="99">
        <f t="shared" ref="CZ15:CZ23" si="224">+CT15+CW15</f>
        <v>9</v>
      </c>
      <c r="DA15" s="116">
        <v>0</v>
      </c>
      <c r="DB15" s="116">
        <f t="shared" ref="DB15:DB43" si="225">CY15/CP15</f>
        <v>1</v>
      </c>
      <c r="DC15" s="116">
        <f t="shared" ref="DC15:DC43" si="226">CZ15/CQ15</f>
        <v>1</v>
      </c>
      <c r="DD15" s="111"/>
      <c r="DE15" s="111"/>
      <c r="DF15" s="103"/>
      <c r="DG15" s="104"/>
      <c r="DH15" s="104"/>
      <c r="DI15" s="104"/>
      <c r="DJ15" s="104"/>
      <c r="DK15" s="104"/>
      <c r="DL15" s="104"/>
      <c r="DM15" s="104"/>
      <c r="DN15" s="104"/>
      <c r="DO15" s="104"/>
      <c r="DP15" s="112"/>
      <c r="DQ15" s="112"/>
      <c r="DR15" s="112"/>
      <c r="DS15" s="98">
        <f t="shared" ref="DS15:DS43" si="227">CO15+DD15</f>
        <v>0</v>
      </c>
      <c r="DT15" s="98">
        <f t="shared" ref="DT15:DT43" si="228">CP15+DE15</f>
        <v>9</v>
      </c>
      <c r="DU15" s="98">
        <f t="shared" ref="DU15:DU43" si="229">CQ15+DF15</f>
        <v>9</v>
      </c>
      <c r="DV15" s="98">
        <f t="shared" ref="DV15:DV43" si="230">CR15+DG15</f>
        <v>0</v>
      </c>
      <c r="DW15" s="98">
        <f t="shared" ref="DW15:DW43" si="231">CS15+DH15</f>
        <v>9</v>
      </c>
      <c r="DX15" s="98">
        <f t="shared" ref="DX15:DX43" si="232">CT15+DI15</f>
        <v>9</v>
      </c>
      <c r="DY15" s="103"/>
      <c r="DZ15" s="103"/>
      <c r="EA15" s="103"/>
      <c r="EB15" s="98">
        <f t="shared" ref="EB15:EB43" si="233">CX15+DM15</f>
        <v>0</v>
      </c>
      <c r="EC15" s="98">
        <f t="shared" ref="EC15:EC43" si="234">CY15+DN15</f>
        <v>9</v>
      </c>
      <c r="ED15" s="98">
        <f t="shared" ref="ED15:ED43" si="235">CZ15+DO15</f>
        <v>9</v>
      </c>
      <c r="EE15" s="116">
        <v>0</v>
      </c>
      <c r="EF15" s="116">
        <f t="shared" ref="EF15:EF43" si="236">EC15/DT15</f>
        <v>1</v>
      </c>
      <c r="EG15" s="116">
        <f t="shared" ref="EG15:EG43" si="237">ED15/DU15</f>
        <v>1</v>
      </c>
      <c r="EH15" s="98">
        <f t="shared" ref="EH15:EH43" si="238">+AP15</f>
        <v>22</v>
      </c>
      <c r="EI15" s="98">
        <f t="shared" ref="EI15:EJ43" si="239">+AQ15</f>
        <v>230</v>
      </c>
      <c r="EJ15" s="98">
        <f t="shared" ref="EJ15:EJ23" si="240">+AR15</f>
        <v>252</v>
      </c>
      <c r="EK15" s="101">
        <v>16</v>
      </c>
      <c r="EL15" s="101">
        <v>189</v>
      </c>
      <c r="EM15" s="98">
        <f t="shared" ref="EM15:EM43" si="241">EK15+EL15</f>
        <v>205</v>
      </c>
      <c r="EN15" s="100">
        <f t="shared" ref="EN15:EN23" si="242">+EK15*100/EH15</f>
        <v>72.727272727272734</v>
      </c>
      <c r="EO15" s="100">
        <f t="shared" ref="EO15:EO23" si="243">+EL15*100/EI15</f>
        <v>82.173913043478265</v>
      </c>
      <c r="EP15" s="100">
        <f t="shared" ref="EP15:EP23" si="244">+EM15*100/EJ15</f>
        <v>81.349206349206355</v>
      </c>
      <c r="EQ15" s="98">
        <f t="shared" ref="EQ15:EQ43" si="245">+CI15</f>
        <v>1</v>
      </c>
      <c r="ER15" s="98">
        <f t="shared" ref="ER15:ES43" si="246">+CJ15</f>
        <v>4</v>
      </c>
      <c r="ES15" s="98">
        <f t="shared" ref="ES15:ES23" si="247">+CK15</f>
        <v>5</v>
      </c>
      <c r="ET15" s="101">
        <v>1</v>
      </c>
      <c r="EU15" s="101">
        <v>3</v>
      </c>
      <c r="EV15" s="98">
        <f t="shared" ref="EV15:EV43" si="248">ET15+EU15</f>
        <v>4</v>
      </c>
      <c r="EW15" s="100">
        <f t="shared" ref="EW15:EW23" si="249">+ET15*100/EQ15</f>
        <v>100</v>
      </c>
      <c r="EX15" s="100">
        <f t="shared" ref="EX15:EX23" si="250">+EU15*100/ER15</f>
        <v>75</v>
      </c>
      <c r="EY15" s="100">
        <f t="shared" ref="EY15:EY23" si="251">+EV15*100/ES15</f>
        <v>80</v>
      </c>
      <c r="EZ15" s="98">
        <f t="shared" ref="EZ15:EZ43" si="252">+EB15</f>
        <v>0</v>
      </c>
      <c r="FA15" s="98">
        <f t="shared" ref="FA15:FB43" si="253">+EC15</f>
        <v>9</v>
      </c>
      <c r="FB15" s="98">
        <f t="shared" ref="FB15:FB23" si="254">+ED15</f>
        <v>9</v>
      </c>
      <c r="FC15" s="101">
        <v>0</v>
      </c>
      <c r="FD15" s="101">
        <v>3</v>
      </c>
      <c r="FE15" s="98">
        <f t="shared" ref="FE15:FE43" si="255">FC15+FD15</f>
        <v>3</v>
      </c>
      <c r="FF15" s="100">
        <v>0</v>
      </c>
      <c r="FG15" s="100">
        <f t="shared" ref="FG15:FG23" si="256">+FD15*100/FA15</f>
        <v>33.333333333333336</v>
      </c>
      <c r="FH15" s="100">
        <f t="shared" ref="FH15:FH23" si="257">+FE15*100/FB15</f>
        <v>33.333333333333336</v>
      </c>
    </row>
    <row r="16" spans="1:182" ht="27" customHeight="1" x14ac:dyDescent="0.25">
      <c r="A16" s="94">
        <v>7</v>
      </c>
      <c r="B16" s="118" t="s">
        <v>138</v>
      </c>
      <c r="C16" s="96">
        <v>675292</v>
      </c>
      <c r="D16" s="96">
        <v>658651</v>
      </c>
      <c r="E16" s="96">
        <f t="shared" si="182"/>
        <v>1333943</v>
      </c>
      <c r="F16" s="96">
        <v>400918</v>
      </c>
      <c r="G16" s="96">
        <v>294783</v>
      </c>
      <c r="H16" s="96">
        <f t="shared" si="183"/>
        <v>695701</v>
      </c>
      <c r="I16" s="103"/>
      <c r="J16" s="103"/>
      <c r="K16" s="104"/>
      <c r="L16" s="97">
        <f t="shared" si="184"/>
        <v>400918</v>
      </c>
      <c r="M16" s="98">
        <f t="shared" si="185"/>
        <v>294783</v>
      </c>
      <c r="N16" s="98">
        <f t="shared" si="186"/>
        <v>695701</v>
      </c>
      <c r="O16" s="116">
        <f t="shared" si="187"/>
        <v>0.59369576420274484</v>
      </c>
      <c r="P16" s="116">
        <f t="shared" si="188"/>
        <v>0.44755568578807292</v>
      </c>
      <c r="Q16" s="116">
        <f t="shared" si="189"/>
        <v>0.52153727708005515</v>
      </c>
      <c r="R16" s="99">
        <v>201695</v>
      </c>
      <c r="S16" s="99">
        <v>195656</v>
      </c>
      <c r="T16" s="98">
        <f>R16+S16</f>
        <v>397351</v>
      </c>
      <c r="U16" s="98">
        <v>96493</v>
      </c>
      <c r="V16" s="98">
        <v>73586</v>
      </c>
      <c r="W16" s="98">
        <f t="shared" ref="W16:W43" si="258">U16+V16</f>
        <v>170079</v>
      </c>
      <c r="X16" s="103"/>
      <c r="Y16" s="103"/>
      <c r="Z16" s="103"/>
      <c r="AA16" s="98">
        <f t="shared" ref="AA16:AA43" si="259">U16+X16</f>
        <v>96493</v>
      </c>
      <c r="AB16" s="98">
        <f t="shared" ref="AB16:AB43" si="260">V16+Y16</f>
        <v>73586</v>
      </c>
      <c r="AC16" s="98">
        <f t="shared" ref="AC16:AC43" si="261">W16+Z16</f>
        <v>170079</v>
      </c>
      <c r="AD16" s="116">
        <f t="shared" ref="AD16:AD17" si="262">AA16/R16</f>
        <v>0.47841047125610453</v>
      </c>
      <c r="AE16" s="116">
        <f t="shared" ref="AE16" si="263">AB16/S16</f>
        <v>0.37609886739992643</v>
      </c>
      <c r="AF16" s="116">
        <f t="shared" ref="AF16:AF17" si="264">AC16/T16</f>
        <v>0.42803214286613095</v>
      </c>
      <c r="AG16" s="98">
        <f t="shared" si="190"/>
        <v>876987</v>
      </c>
      <c r="AH16" s="98">
        <f t="shared" si="191"/>
        <v>854307</v>
      </c>
      <c r="AI16" s="98">
        <f t="shared" si="192"/>
        <v>1731294</v>
      </c>
      <c r="AJ16" s="98">
        <f t="shared" si="193"/>
        <v>497411</v>
      </c>
      <c r="AK16" s="98">
        <f t="shared" si="194"/>
        <v>368369</v>
      </c>
      <c r="AL16" s="98">
        <f t="shared" si="192"/>
        <v>865780</v>
      </c>
      <c r="AM16" s="98">
        <f>I16+X16</f>
        <v>0</v>
      </c>
      <c r="AN16" s="98">
        <f t="shared" ref="AN16:AO40" si="265">J16+Y16</f>
        <v>0</v>
      </c>
      <c r="AO16" s="98">
        <f t="shared" si="192"/>
        <v>0</v>
      </c>
      <c r="AP16" s="98">
        <f t="shared" si="195"/>
        <v>497411</v>
      </c>
      <c r="AQ16" s="98">
        <f t="shared" si="196"/>
        <v>368369</v>
      </c>
      <c r="AR16" s="98">
        <f t="shared" si="192"/>
        <v>865780</v>
      </c>
      <c r="AS16" s="116">
        <f t="shared" si="197"/>
        <v>0.56718172561280844</v>
      </c>
      <c r="AT16" s="116">
        <f t="shared" si="198"/>
        <v>0.43119042686060166</v>
      </c>
      <c r="AU16" s="116">
        <f t="shared" si="199"/>
        <v>0.50007682115227103</v>
      </c>
      <c r="AV16" s="99">
        <v>115027</v>
      </c>
      <c r="AW16" s="99">
        <v>100291</v>
      </c>
      <c r="AX16" s="99">
        <f t="shared" si="200"/>
        <v>215318</v>
      </c>
      <c r="AY16" s="99">
        <v>58454</v>
      </c>
      <c r="AZ16" s="99">
        <v>30558</v>
      </c>
      <c r="BA16" s="99">
        <f t="shared" si="201"/>
        <v>89012</v>
      </c>
      <c r="BB16" s="104"/>
      <c r="BC16" s="104"/>
      <c r="BD16" s="104"/>
      <c r="BE16" s="99">
        <f t="shared" si="202"/>
        <v>58454</v>
      </c>
      <c r="BF16" s="99">
        <f t="shared" si="203"/>
        <v>30558</v>
      </c>
      <c r="BG16" s="99">
        <f t="shared" si="204"/>
        <v>89012</v>
      </c>
      <c r="BH16" s="116">
        <f t="shared" si="205"/>
        <v>0.50817634120684707</v>
      </c>
      <c r="BI16" s="116">
        <f t="shared" si="206"/>
        <v>0.30469334237369256</v>
      </c>
      <c r="BJ16" s="116">
        <f t="shared" si="207"/>
        <v>0.41339785805181173</v>
      </c>
      <c r="BK16" s="95">
        <v>43611</v>
      </c>
      <c r="BL16" s="95">
        <v>39148</v>
      </c>
      <c r="BM16" s="98">
        <f t="shared" ref="BM16:BM43" si="266">BK16+BL16</f>
        <v>82759</v>
      </c>
      <c r="BN16" s="99">
        <v>18197</v>
      </c>
      <c r="BO16" s="99">
        <v>10790</v>
      </c>
      <c r="BP16" s="99">
        <f t="shared" ref="BP16:BP43" si="267">BN16+BO16</f>
        <v>28987</v>
      </c>
      <c r="BQ16" s="104"/>
      <c r="BR16" s="104"/>
      <c r="BS16" s="104"/>
      <c r="BT16" s="99">
        <f>+BN16+BQ16</f>
        <v>18197</v>
      </c>
      <c r="BU16" s="99">
        <f t="shared" ref="BU16:BV43" si="268">+BO16+BR16</f>
        <v>10790</v>
      </c>
      <c r="BV16" s="99">
        <f t="shared" ref="BV16" si="269">+BP16+BS16</f>
        <v>28987</v>
      </c>
      <c r="BW16" s="116">
        <f t="shared" ref="BW16:BW43" si="270">BT16/BK16</f>
        <v>0.4172571140308638</v>
      </c>
      <c r="BX16" s="116">
        <f t="shared" ref="BX16:BX43" si="271">BU16/BL16</f>
        <v>0.27562072136507615</v>
      </c>
      <c r="BY16" s="116">
        <f t="shared" ref="BY16:BY43" si="272">BV16/BM16</f>
        <v>0.35025797798426755</v>
      </c>
      <c r="BZ16" s="98">
        <f t="shared" si="208"/>
        <v>158638</v>
      </c>
      <c r="CA16" s="98">
        <f t="shared" si="209"/>
        <v>139439</v>
      </c>
      <c r="CB16" s="98">
        <f t="shared" si="210"/>
        <v>298077</v>
      </c>
      <c r="CC16" s="98">
        <f t="shared" si="211"/>
        <v>76651</v>
      </c>
      <c r="CD16" s="98">
        <f t="shared" si="212"/>
        <v>41348</v>
      </c>
      <c r="CE16" s="98">
        <f t="shared" si="213"/>
        <v>117999</v>
      </c>
      <c r="CF16" s="103"/>
      <c r="CG16" s="103"/>
      <c r="CH16" s="103"/>
      <c r="CI16" s="98">
        <f t="shared" si="214"/>
        <v>76651</v>
      </c>
      <c r="CJ16" s="98">
        <f t="shared" si="215"/>
        <v>41348</v>
      </c>
      <c r="CK16" s="98">
        <f t="shared" si="216"/>
        <v>117999</v>
      </c>
      <c r="CL16" s="116">
        <f t="shared" si="217"/>
        <v>0.48318183537361792</v>
      </c>
      <c r="CM16" s="116">
        <f t="shared" si="218"/>
        <v>0.29653109962062263</v>
      </c>
      <c r="CN16" s="116">
        <f t="shared" si="219"/>
        <v>0.39586751074386822</v>
      </c>
      <c r="CO16" s="99">
        <v>10011</v>
      </c>
      <c r="CP16" s="99">
        <v>9832</v>
      </c>
      <c r="CQ16" s="99">
        <f t="shared" si="220"/>
        <v>19843</v>
      </c>
      <c r="CR16" s="99">
        <v>5655</v>
      </c>
      <c r="CS16" s="99">
        <v>4199</v>
      </c>
      <c r="CT16" s="99">
        <f t="shared" si="221"/>
        <v>9854</v>
      </c>
      <c r="CU16" s="104"/>
      <c r="CV16" s="104"/>
      <c r="CW16" s="104"/>
      <c r="CX16" s="99">
        <f t="shared" si="222"/>
        <v>5655</v>
      </c>
      <c r="CY16" s="99">
        <f t="shared" si="223"/>
        <v>4199</v>
      </c>
      <c r="CZ16" s="99">
        <f t="shared" si="224"/>
        <v>9854</v>
      </c>
      <c r="DA16" s="116">
        <f t="shared" ref="DA16:DA43" si="273">CX16/CO16</f>
        <v>0.56487863350314649</v>
      </c>
      <c r="DB16" s="116">
        <f t="shared" si="225"/>
        <v>0.42707485760781122</v>
      </c>
      <c r="DC16" s="116">
        <f t="shared" si="226"/>
        <v>0.496598296628534</v>
      </c>
      <c r="DD16" s="95">
        <v>3502</v>
      </c>
      <c r="DE16" s="95">
        <v>2864</v>
      </c>
      <c r="DF16" s="98">
        <f t="shared" ref="DF16:DF43" si="274">DD16+DE16</f>
        <v>6366</v>
      </c>
      <c r="DG16" s="99">
        <v>1528</v>
      </c>
      <c r="DH16" s="99">
        <v>935</v>
      </c>
      <c r="DI16" s="99">
        <f t="shared" ref="DI16:DI43" si="275">+DG16+DH16</f>
        <v>2463</v>
      </c>
      <c r="DJ16" s="104"/>
      <c r="DK16" s="104"/>
      <c r="DL16" s="104"/>
      <c r="DM16" s="99">
        <f t="shared" ref="DM16:DM43" si="276">+DG16+DJ16</f>
        <v>1528</v>
      </c>
      <c r="DN16" s="99">
        <f t="shared" ref="DN16:DO43" si="277">+DH16+DK16</f>
        <v>935</v>
      </c>
      <c r="DO16" s="99">
        <f t="shared" ref="DO16" si="278">+DI16+DL16</f>
        <v>2463</v>
      </c>
      <c r="DP16" s="116">
        <f t="shared" ref="DP16:DP43" si="279">DM16/DD16</f>
        <v>0.43632210165619645</v>
      </c>
      <c r="DQ16" s="116">
        <f t="shared" ref="DQ16:DQ43" si="280">DN16/DE16</f>
        <v>0.32646648044692739</v>
      </c>
      <c r="DR16" s="116">
        <f t="shared" ref="DR16:DR43" si="281">DO16/DF16</f>
        <v>0.38689915174363809</v>
      </c>
      <c r="DS16" s="98">
        <f t="shared" si="227"/>
        <v>13513</v>
      </c>
      <c r="DT16" s="98">
        <f t="shared" si="228"/>
        <v>12696</v>
      </c>
      <c r="DU16" s="98">
        <f t="shared" si="229"/>
        <v>26209</v>
      </c>
      <c r="DV16" s="98">
        <f t="shared" si="230"/>
        <v>7183</v>
      </c>
      <c r="DW16" s="98">
        <f t="shared" si="231"/>
        <v>5134</v>
      </c>
      <c r="DX16" s="98">
        <f t="shared" si="232"/>
        <v>12317</v>
      </c>
      <c r="DY16" s="103"/>
      <c r="DZ16" s="103"/>
      <c r="EA16" s="103"/>
      <c r="EB16" s="98">
        <f t="shared" si="233"/>
        <v>7183</v>
      </c>
      <c r="EC16" s="98">
        <f t="shared" si="234"/>
        <v>5134</v>
      </c>
      <c r="ED16" s="98">
        <f t="shared" si="235"/>
        <v>12317</v>
      </c>
      <c r="EE16" s="116">
        <f t="shared" ref="EE16" si="282">EB16/DS16</f>
        <v>0.53156219936357585</v>
      </c>
      <c r="EF16" s="116">
        <f t="shared" si="236"/>
        <v>0.4043793320730939</v>
      </c>
      <c r="EG16" s="116">
        <f t="shared" si="237"/>
        <v>0.46995306955625932</v>
      </c>
      <c r="EH16" s="98">
        <f t="shared" si="238"/>
        <v>497411</v>
      </c>
      <c r="EI16" s="98">
        <f t="shared" si="239"/>
        <v>368369</v>
      </c>
      <c r="EJ16" s="98">
        <f t="shared" si="240"/>
        <v>865780</v>
      </c>
      <c r="EK16" s="101">
        <v>156102</v>
      </c>
      <c r="EL16" s="101">
        <v>85119</v>
      </c>
      <c r="EM16" s="98">
        <f t="shared" si="241"/>
        <v>241221</v>
      </c>
      <c r="EN16" s="100">
        <f t="shared" si="242"/>
        <v>31.38290065961549</v>
      </c>
      <c r="EO16" s="100">
        <f t="shared" si="243"/>
        <v>23.10699325947623</v>
      </c>
      <c r="EP16" s="100">
        <f t="shared" si="244"/>
        <v>27.861696966896901</v>
      </c>
      <c r="EQ16" s="98">
        <f t="shared" si="245"/>
        <v>76651</v>
      </c>
      <c r="ER16" s="98">
        <f t="shared" si="246"/>
        <v>41348</v>
      </c>
      <c r="ES16" s="98">
        <f t="shared" si="247"/>
        <v>117999</v>
      </c>
      <c r="ET16" s="101">
        <v>18656</v>
      </c>
      <c r="EU16" s="101">
        <v>6106</v>
      </c>
      <c r="EV16" s="98">
        <f t="shared" si="248"/>
        <v>24762</v>
      </c>
      <c r="EW16" s="100">
        <f t="shared" si="249"/>
        <v>24.338886642052941</v>
      </c>
      <c r="EX16" s="100">
        <f t="shared" si="250"/>
        <v>14.767340621069943</v>
      </c>
      <c r="EY16" s="100">
        <f t="shared" si="251"/>
        <v>20.984923601047466</v>
      </c>
      <c r="EZ16" s="98">
        <f t="shared" si="252"/>
        <v>7183</v>
      </c>
      <c r="FA16" s="98">
        <f t="shared" si="253"/>
        <v>5134</v>
      </c>
      <c r="FB16" s="98">
        <f t="shared" si="254"/>
        <v>12317</v>
      </c>
      <c r="FC16" s="101">
        <v>2021</v>
      </c>
      <c r="FD16" s="101">
        <v>1114</v>
      </c>
      <c r="FE16" s="98">
        <f t="shared" si="255"/>
        <v>3135</v>
      </c>
      <c r="FF16" s="100">
        <f t="shared" ref="FF16:FF23" si="283">+FC16*100/EZ16</f>
        <v>28.135876374773773</v>
      </c>
      <c r="FG16" s="100">
        <f t="shared" si="256"/>
        <v>21.698480716790026</v>
      </c>
      <c r="FH16" s="100">
        <f t="shared" si="257"/>
        <v>25.452626451246246</v>
      </c>
    </row>
    <row r="17" spans="1:164" ht="27" customHeight="1" x14ac:dyDescent="0.25">
      <c r="A17" s="94">
        <v>8</v>
      </c>
      <c r="B17" s="118" t="s">
        <v>139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12"/>
      <c r="P17" s="112"/>
      <c r="Q17" s="112"/>
      <c r="R17" s="98">
        <v>30550</v>
      </c>
      <c r="S17" s="103"/>
      <c r="T17" s="98">
        <f>R17+S17</f>
        <v>30550</v>
      </c>
      <c r="U17" s="98">
        <v>18878</v>
      </c>
      <c r="V17" s="103"/>
      <c r="W17" s="98">
        <f t="shared" si="258"/>
        <v>18878</v>
      </c>
      <c r="X17" s="103"/>
      <c r="Y17" s="103"/>
      <c r="Z17" s="103"/>
      <c r="AA17" s="98">
        <f t="shared" ref="AA17" si="284">U17+X17</f>
        <v>18878</v>
      </c>
      <c r="AB17" s="103">
        <f t="shared" ref="AB17" si="285">V17+Y17</f>
        <v>0</v>
      </c>
      <c r="AC17" s="98">
        <f t="shared" ref="AC17" si="286">W17+Z17</f>
        <v>18878</v>
      </c>
      <c r="AD17" s="116">
        <f t="shared" si="262"/>
        <v>0.61793780687397704</v>
      </c>
      <c r="AE17" s="103"/>
      <c r="AF17" s="116">
        <f t="shared" si="264"/>
        <v>0.61793780687397704</v>
      </c>
      <c r="AG17" s="98">
        <f t="shared" si="190"/>
        <v>30550</v>
      </c>
      <c r="AH17" s="103">
        <f t="shared" si="191"/>
        <v>0</v>
      </c>
      <c r="AI17" s="98">
        <f t="shared" si="192"/>
        <v>30550</v>
      </c>
      <c r="AJ17" s="98">
        <f t="shared" si="193"/>
        <v>18878</v>
      </c>
      <c r="AK17" s="103">
        <f t="shared" si="194"/>
        <v>0</v>
      </c>
      <c r="AL17" s="98">
        <f t="shared" si="192"/>
        <v>18878</v>
      </c>
      <c r="AM17" s="103"/>
      <c r="AN17" s="103"/>
      <c r="AO17" s="103"/>
      <c r="AP17" s="98">
        <f t="shared" si="195"/>
        <v>18878</v>
      </c>
      <c r="AQ17" s="103">
        <f t="shared" si="196"/>
        <v>0</v>
      </c>
      <c r="AR17" s="98">
        <f t="shared" si="192"/>
        <v>18878</v>
      </c>
      <c r="AS17" s="116">
        <f>AP17/AG17</f>
        <v>0.61793780687397704</v>
      </c>
      <c r="AT17" s="103"/>
      <c r="AU17" s="116">
        <f t="shared" si="199"/>
        <v>0.61793780687397704</v>
      </c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98">
        <f t="shared" si="238"/>
        <v>18878</v>
      </c>
      <c r="EI17" s="98">
        <f t="shared" si="239"/>
        <v>0</v>
      </c>
      <c r="EJ17" s="98">
        <f t="shared" si="240"/>
        <v>18878</v>
      </c>
      <c r="EK17" s="98">
        <v>3</v>
      </c>
      <c r="EL17" s="98">
        <v>0</v>
      </c>
      <c r="EM17" s="98">
        <f t="shared" si="241"/>
        <v>3</v>
      </c>
      <c r="EN17" s="100">
        <f t="shared" si="242"/>
        <v>1.5891513931560547E-2</v>
      </c>
      <c r="EO17" s="100" t="s">
        <v>319</v>
      </c>
      <c r="EP17" s="100">
        <f t="shared" si="244"/>
        <v>1.5891513931560547E-2</v>
      </c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</row>
    <row r="18" spans="1:164" ht="27" customHeight="1" x14ac:dyDescent="0.25">
      <c r="A18" s="94">
        <v>9</v>
      </c>
      <c r="B18" s="118" t="s">
        <v>145</v>
      </c>
      <c r="C18" s="96">
        <v>181880</v>
      </c>
      <c r="D18" s="96">
        <v>209351</v>
      </c>
      <c r="E18" s="96">
        <f>C18+D18</f>
        <v>391231</v>
      </c>
      <c r="F18" s="96">
        <v>109151</v>
      </c>
      <c r="G18" s="96">
        <v>130486</v>
      </c>
      <c r="H18" s="96">
        <f>F18+G18</f>
        <v>239637</v>
      </c>
      <c r="I18" s="96">
        <v>1637</v>
      </c>
      <c r="J18" s="96">
        <v>1791</v>
      </c>
      <c r="K18" s="96">
        <f>I18+J18</f>
        <v>3428</v>
      </c>
      <c r="L18" s="97">
        <f t="shared" ref="L18:N22" si="287">F18+I18</f>
        <v>110788</v>
      </c>
      <c r="M18" s="98">
        <f t="shared" si="287"/>
        <v>132277</v>
      </c>
      <c r="N18" s="98">
        <f t="shared" si="287"/>
        <v>243065</v>
      </c>
      <c r="O18" s="116">
        <f>L18/C18</f>
        <v>0.60912689685506927</v>
      </c>
      <c r="P18" s="116">
        <f>M18/D18</f>
        <v>0.6318431724711131</v>
      </c>
      <c r="Q18" s="116">
        <f>N18/E18</f>
        <v>0.62128256707673979</v>
      </c>
      <c r="R18" s="98">
        <v>5944</v>
      </c>
      <c r="S18" s="98">
        <v>4775</v>
      </c>
      <c r="T18" s="98">
        <f>R18+S18</f>
        <v>10719</v>
      </c>
      <c r="U18" s="98">
        <v>2011</v>
      </c>
      <c r="V18" s="98">
        <v>1951</v>
      </c>
      <c r="W18" s="98">
        <f>U18+V18</f>
        <v>3962</v>
      </c>
      <c r="X18" s="98">
        <v>785</v>
      </c>
      <c r="Y18" s="98">
        <v>641</v>
      </c>
      <c r="Z18" s="98">
        <f>X18+Y18</f>
        <v>1426</v>
      </c>
      <c r="AA18" s="98">
        <f t="shared" ref="AA18:AC19" si="288">U18+X18</f>
        <v>2796</v>
      </c>
      <c r="AB18" s="98">
        <f t="shared" si="288"/>
        <v>2592</v>
      </c>
      <c r="AC18" s="98">
        <f t="shared" si="288"/>
        <v>5388</v>
      </c>
      <c r="AD18" s="116">
        <f>AA18/R18</f>
        <v>0.47039030955585465</v>
      </c>
      <c r="AE18" s="116">
        <f>AB18/S18</f>
        <v>0.5428272251308901</v>
      </c>
      <c r="AF18" s="116">
        <f>AC18/T18</f>
        <v>0.50265883011474954</v>
      </c>
      <c r="AG18" s="98">
        <f t="shared" ref="AG18" si="289">C18+R18</f>
        <v>187824</v>
      </c>
      <c r="AH18" s="98">
        <f t="shared" ref="AH18" si="290">D18+S18</f>
        <v>214126</v>
      </c>
      <c r="AI18" s="98">
        <f t="shared" ref="AI18" si="291">E18+T18</f>
        <v>401950</v>
      </c>
      <c r="AJ18" s="98">
        <f t="shared" ref="AJ18" si="292">F18+U18</f>
        <v>111162</v>
      </c>
      <c r="AK18" s="98">
        <f t="shared" ref="AK18" si="293">G18+V18</f>
        <v>132437</v>
      </c>
      <c r="AL18" s="98">
        <f t="shared" ref="AL18" si="294">H18+W18</f>
        <v>243599</v>
      </c>
      <c r="AM18" s="98">
        <f t="shared" ref="AM18" si="295">I18+X18</f>
        <v>2422</v>
      </c>
      <c r="AN18" s="98">
        <f t="shared" ref="AN18" si="296">J18+Y18</f>
        <v>2432</v>
      </c>
      <c r="AO18" s="98">
        <f t="shared" ref="AO18" si="297">K18+Z18</f>
        <v>4854</v>
      </c>
      <c r="AP18" s="98">
        <f t="shared" ref="AP18" si="298">L18+AA18</f>
        <v>113584</v>
      </c>
      <c r="AQ18" s="98">
        <f t="shared" ref="AQ18" si="299">M18+AB18</f>
        <v>134869</v>
      </c>
      <c r="AR18" s="98">
        <f t="shared" ref="AR18" si="300">N18+AC18</f>
        <v>248453</v>
      </c>
      <c r="AS18" s="116">
        <f>AP18/AG18</f>
        <v>0.60473634892239547</v>
      </c>
      <c r="AT18" s="116">
        <f t="shared" ref="AT18:AU20" si="301">AQ18/AH18</f>
        <v>0.62985812091945859</v>
      </c>
      <c r="AU18" s="116">
        <f t="shared" si="301"/>
        <v>0.61811916905087694</v>
      </c>
      <c r="AV18" s="99">
        <v>27461</v>
      </c>
      <c r="AW18" s="99">
        <v>31119</v>
      </c>
      <c r="AX18" s="99">
        <f>+AV18+AW18</f>
        <v>58580</v>
      </c>
      <c r="AY18" s="99">
        <v>15431</v>
      </c>
      <c r="AZ18" s="99">
        <v>18048</v>
      </c>
      <c r="BA18" s="99">
        <f>+AY18+AZ18</f>
        <v>33479</v>
      </c>
      <c r="BB18" s="99">
        <v>280</v>
      </c>
      <c r="BC18" s="99">
        <v>299</v>
      </c>
      <c r="BD18" s="99">
        <f>+BB18+BC18</f>
        <v>579</v>
      </c>
      <c r="BE18" s="99">
        <f>+AY18+BB18</f>
        <v>15711</v>
      </c>
      <c r="BF18" s="99">
        <f>+AZ18+BC18</f>
        <v>18347</v>
      </c>
      <c r="BG18" s="99">
        <f>+BA18+BD18</f>
        <v>34058</v>
      </c>
      <c r="BH18" s="116">
        <f>BE18/AV18</f>
        <v>0.57212046174574849</v>
      </c>
      <c r="BI18" s="116">
        <f>BF18/AW18</f>
        <v>0.58957550049808793</v>
      </c>
      <c r="BJ18" s="116">
        <f>BG18/AX18</f>
        <v>0.58139296688289521</v>
      </c>
      <c r="BK18" s="95">
        <v>900</v>
      </c>
      <c r="BL18" s="95">
        <v>697</v>
      </c>
      <c r="BM18" s="98">
        <f>BK18+BL18</f>
        <v>1597</v>
      </c>
      <c r="BN18" s="99">
        <v>296</v>
      </c>
      <c r="BO18" s="99">
        <v>326</v>
      </c>
      <c r="BP18" s="99">
        <f>BN18+BO18</f>
        <v>622</v>
      </c>
      <c r="BQ18" s="99">
        <v>124</v>
      </c>
      <c r="BR18" s="99">
        <v>112</v>
      </c>
      <c r="BS18" s="99">
        <f>BQ18+BR18</f>
        <v>236</v>
      </c>
      <c r="BT18" s="99">
        <f>+BN18+BQ18</f>
        <v>420</v>
      </c>
      <c r="BU18" s="99">
        <f>+BO18+BR18</f>
        <v>438</v>
      </c>
      <c r="BV18" s="99">
        <f>+BP18+BS18</f>
        <v>858</v>
      </c>
      <c r="BW18" s="116">
        <f>BT18/BK18</f>
        <v>0.46666666666666667</v>
      </c>
      <c r="BX18" s="116">
        <f>BU18/BL18</f>
        <v>0.6284074605451937</v>
      </c>
      <c r="BY18" s="116">
        <f>BV18/BM18</f>
        <v>0.53725735754539761</v>
      </c>
      <c r="BZ18" s="98">
        <f t="shared" ref="BZ18" si="302">AV18+BK18</f>
        <v>28361</v>
      </c>
      <c r="CA18" s="98">
        <f t="shared" ref="CA18" si="303">AW18+BL18</f>
        <v>31816</v>
      </c>
      <c r="CB18" s="98">
        <f t="shared" ref="CB18" si="304">AX18+BM18</f>
        <v>60177</v>
      </c>
      <c r="CC18" s="98">
        <f t="shared" ref="CC18" si="305">AY18+BN18</f>
        <v>15727</v>
      </c>
      <c r="CD18" s="98">
        <f t="shared" ref="CD18" si="306">AZ18+BO18</f>
        <v>18374</v>
      </c>
      <c r="CE18" s="98">
        <f t="shared" ref="CE18" si="307">BA18+BP18</f>
        <v>34101</v>
      </c>
      <c r="CF18" s="98">
        <f t="shared" ref="CF18" si="308">BB18+BQ18</f>
        <v>404</v>
      </c>
      <c r="CG18" s="98">
        <f t="shared" ref="CG18" si="309">BC18+BR18</f>
        <v>411</v>
      </c>
      <c r="CH18" s="98">
        <f t="shared" ref="CH18" si="310">BD18+BS18</f>
        <v>815</v>
      </c>
      <c r="CI18" s="98">
        <f t="shared" ref="CI18" si="311">BE18+BT18</f>
        <v>16131</v>
      </c>
      <c r="CJ18" s="98">
        <f t="shared" ref="CJ18" si="312">BF18+BU18</f>
        <v>18785</v>
      </c>
      <c r="CK18" s="98">
        <f t="shared" ref="CK18" si="313">BG18+BV18</f>
        <v>34916</v>
      </c>
      <c r="CL18" s="116">
        <f>CI18/BZ18</f>
        <v>0.56877402066217697</v>
      </c>
      <c r="CM18" s="116">
        <f>CJ18/CA18</f>
        <v>0.59042620065375917</v>
      </c>
      <c r="CN18" s="116">
        <f>CK18/CB18</f>
        <v>0.5802216793791648</v>
      </c>
      <c r="CO18" s="99">
        <v>50535</v>
      </c>
      <c r="CP18" s="99">
        <v>61282</v>
      </c>
      <c r="CQ18" s="99">
        <f>+CO18+CP18</f>
        <v>111817</v>
      </c>
      <c r="CR18" s="99">
        <v>29297</v>
      </c>
      <c r="CS18" s="99">
        <v>35632</v>
      </c>
      <c r="CT18" s="99">
        <f>+CR18+CS18</f>
        <v>64929</v>
      </c>
      <c r="CU18" s="99">
        <v>378</v>
      </c>
      <c r="CV18" s="99">
        <v>446</v>
      </c>
      <c r="CW18" s="99">
        <f>+CU18+CV18</f>
        <v>824</v>
      </c>
      <c r="CX18" s="99">
        <f>+CR18+CU18</f>
        <v>29675</v>
      </c>
      <c r="CY18" s="99">
        <f>+CS18+CV18</f>
        <v>36078</v>
      </c>
      <c r="CZ18" s="99">
        <f>+CT18+CW18</f>
        <v>65753</v>
      </c>
      <c r="DA18" s="116">
        <f>CX18/CO18</f>
        <v>0.58721678044919368</v>
      </c>
      <c r="DB18" s="116">
        <f>CY18/CP18</f>
        <v>0.58872099474560224</v>
      </c>
      <c r="DC18" s="116">
        <f>CZ18/CQ18</f>
        <v>0.58804117441891657</v>
      </c>
      <c r="DD18" s="95">
        <v>1376</v>
      </c>
      <c r="DE18" s="95">
        <v>1324</v>
      </c>
      <c r="DF18" s="98">
        <f>DD18+DE18</f>
        <v>2700</v>
      </c>
      <c r="DG18" s="99">
        <v>473</v>
      </c>
      <c r="DH18" s="99">
        <v>498</v>
      </c>
      <c r="DI18" s="99">
        <f>+DG18+DH18</f>
        <v>971</v>
      </c>
      <c r="DJ18" s="99">
        <v>170</v>
      </c>
      <c r="DK18" s="99">
        <v>126</v>
      </c>
      <c r="DL18" s="99">
        <f>DJ18+DK18</f>
        <v>296</v>
      </c>
      <c r="DM18" s="99">
        <f>+DG18+DJ18</f>
        <v>643</v>
      </c>
      <c r="DN18" s="99">
        <f>+DH18+DK18</f>
        <v>624</v>
      </c>
      <c r="DO18" s="99">
        <f>+DI18+DL18</f>
        <v>1267</v>
      </c>
      <c r="DP18" s="116">
        <f>DM18/DD18</f>
        <v>0.46729651162790697</v>
      </c>
      <c r="DQ18" s="116">
        <f>DN18/DE18</f>
        <v>0.47129909365558914</v>
      </c>
      <c r="DR18" s="116">
        <f>DO18/DF18</f>
        <v>0.46925925925925926</v>
      </c>
      <c r="DS18" s="98">
        <f t="shared" ref="DS18" si="314">CO18+DD18</f>
        <v>51911</v>
      </c>
      <c r="DT18" s="98">
        <f t="shared" ref="DT18" si="315">CP18+DE18</f>
        <v>62606</v>
      </c>
      <c r="DU18" s="98">
        <f t="shared" ref="DU18" si="316">CQ18+DF18</f>
        <v>114517</v>
      </c>
      <c r="DV18" s="98">
        <f t="shared" ref="DV18:ED18" si="317">CR18+DG18</f>
        <v>29770</v>
      </c>
      <c r="DW18" s="98">
        <f t="shared" si="317"/>
        <v>36130</v>
      </c>
      <c r="DX18" s="98">
        <f t="shared" si="317"/>
        <v>65900</v>
      </c>
      <c r="DY18" s="98">
        <f t="shared" si="317"/>
        <v>548</v>
      </c>
      <c r="DZ18" s="98">
        <f t="shared" si="317"/>
        <v>572</v>
      </c>
      <c r="EA18" s="98">
        <f t="shared" si="317"/>
        <v>1120</v>
      </c>
      <c r="EB18" s="98">
        <f t="shared" si="317"/>
        <v>30318</v>
      </c>
      <c r="EC18" s="98">
        <f t="shared" si="317"/>
        <v>36702</v>
      </c>
      <c r="ED18" s="98">
        <f t="shared" si="317"/>
        <v>67020</v>
      </c>
      <c r="EE18" s="116">
        <f>EB18/DS18</f>
        <v>0.58403806514996826</v>
      </c>
      <c r="EF18" s="116">
        <f>EC18/DT18</f>
        <v>0.58623774079161739</v>
      </c>
      <c r="EG18" s="116">
        <f>ED18/DU18</f>
        <v>0.58524061929669835</v>
      </c>
      <c r="EH18" s="98">
        <f t="shared" ref="EH18:EJ20" si="318">+AP18</f>
        <v>113584</v>
      </c>
      <c r="EI18" s="98">
        <f t="shared" si="318"/>
        <v>134869</v>
      </c>
      <c r="EJ18" s="98">
        <f t="shared" si="318"/>
        <v>248453</v>
      </c>
      <c r="EK18" s="101">
        <v>23725</v>
      </c>
      <c r="EL18" s="101">
        <v>26408</v>
      </c>
      <c r="EM18" s="98">
        <f>EK18+EL18</f>
        <v>50133</v>
      </c>
      <c r="EN18" s="100">
        <f>+EK18*100/EH18</f>
        <v>20.887625017608112</v>
      </c>
      <c r="EO18" s="100">
        <f>+EL18*100/EI18</f>
        <v>19.58048180085861</v>
      </c>
      <c r="EP18" s="100">
        <f>+EM18*100/EJ18</f>
        <v>20.178061846707426</v>
      </c>
      <c r="EQ18" s="98">
        <f>+CI18</f>
        <v>16131</v>
      </c>
      <c r="ER18" s="98">
        <f>+CJ18</f>
        <v>18785</v>
      </c>
      <c r="ES18" s="98">
        <f>+CK18</f>
        <v>34916</v>
      </c>
      <c r="ET18" s="101">
        <v>3167</v>
      </c>
      <c r="EU18" s="101">
        <v>3222</v>
      </c>
      <c r="EV18" s="98">
        <f>ET18+EU18</f>
        <v>6389</v>
      </c>
      <c r="EW18" s="100">
        <f>+ET18*100/EQ18</f>
        <v>19.633004773417642</v>
      </c>
      <c r="EX18" s="100">
        <f>+EU18*100/ER18</f>
        <v>17.151982965131754</v>
      </c>
      <c r="EY18" s="100">
        <f>+EV18*100/ES18</f>
        <v>18.298201397640049</v>
      </c>
      <c r="EZ18" s="98">
        <f>+EB18</f>
        <v>30318</v>
      </c>
      <c r="FA18" s="98">
        <f>+EC18</f>
        <v>36702</v>
      </c>
      <c r="FB18" s="98">
        <f>+ED18</f>
        <v>67020</v>
      </c>
      <c r="FC18" s="101">
        <v>4276</v>
      </c>
      <c r="FD18" s="101">
        <v>4489</v>
      </c>
      <c r="FE18" s="98">
        <f>FC18+FD18</f>
        <v>8765</v>
      </c>
      <c r="FF18" s="100">
        <f>+FC18*100/EZ18</f>
        <v>14.103832706642919</v>
      </c>
      <c r="FG18" s="100">
        <f>+FD18*100/FA18</f>
        <v>12.23094109312844</v>
      </c>
      <c r="FH18" s="100">
        <f>+FE18*100/FB18</f>
        <v>13.078185616233959</v>
      </c>
    </row>
    <row r="19" spans="1:164" ht="27" customHeight="1" x14ac:dyDescent="0.25">
      <c r="A19" s="94">
        <v>10</v>
      </c>
      <c r="B19" s="118" t="s">
        <v>93</v>
      </c>
      <c r="C19" s="104"/>
      <c r="D19" s="104"/>
      <c r="E19" s="104"/>
      <c r="F19" s="104"/>
      <c r="G19" s="104"/>
      <c r="H19" s="104"/>
      <c r="I19" s="104"/>
      <c r="J19" s="104"/>
      <c r="K19" s="104"/>
      <c r="L19" s="97">
        <f t="shared" si="287"/>
        <v>0</v>
      </c>
      <c r="M19" s="98">
        <f t="shared" si="287"/>
        <v>0</v>
      </c>
      <c r="N19" s="98">
        <f t="shared" si="287"/>
        <v>0</v>
      </c>
      <c r="O19" s="112"/>
      <c r="P19" s="112"/>
      <c r="Q19" s="112"/>
      <c r="R19" s="98">
        <v>111</v>
      </c>
      <c r="S19" s="98">
        <v>69</v>
      </c>
      <c r="T19" s="98">
        <f>R19+S19</f>
        <v>180</v>
      </c>
      <c r="U19" s="98">
        <v>63</v>
      </c>
      <c r="V19" s="98">
        <v>59</v>
      </c>
      <c r="W19" s="98">
        <f>U19+V19</f>
        <v>122</v>
      </c>
      <c r="X19" s="103"/>
      <c r="Y19" s="103"/>
      <c r="Z19" s="103"/>
      <c r="AA19" s="98">
        <f t="shared" si="288"/>
        <v>63</v>
      </c>
      <c r="AB19" s="98">
        <f t="shared" si="288"/>
        <v>59</v>
      </c>
      <c r="AC19" s="98">
        <f t="shared" si="288"/>
        <v>122</v>
      </c>
      <c r="AD19" s="116">
        <f t="shared" ref="AD19" si="319">AA19/R19</f>
        <v>0.56756756756756754</v>
      </c>
      <c r="AE19" s="116">
        <f t="shared" ref="AE19" si="320">AB19/S19</f>
        <v>0.85507246376811596</v>
      </c>
      <c r="AF19" s="116">
        <f>AC19/T19</f>
        <v>0.67777777777777781</v>
      </c>
      <c r="AG19" s="98">
        <f t="shared" ref="AG19:AL20" si="321">C19+R19</f>
        <v>111</v>
      </c>
      <c r="AH19" s="98">
        <f t="shared" si="321"/>
        <v>69</v>
      </c>
      <c r="AI19" s="98">
        <f t="shared" si="321"/>
        <v>180</v>
      </c>
      <c r="AJ19" s="98">
        <f t="shared" si="321"/>
        <v>63</v>
      </c>
      <c r="AK19" s="98">
        <f t="shared" si="321"/>
        <v>59</v>
      </c>
      <c r="AL19" s="98">
        <f t="shared" si="321"/>
        <v>122</v>
      </c>
      <c r="AM19" s="103"/>
      <c r="AN19" s="103"/>
      <c r="AO19" s="103"/>
      <c r="AP19" s="98">
        <f t="shared" ref="AP19:AR20" si="322">L19+AA19</f>
        <v>63</v>
      </c>
      <c r="AQ19" s="98">
        <f t="shared" si="322"/>
        <v>59</v>
      </c>
      <c r="AR19" s="98">
        <f t="shared" si="322"/>
        <v>122</v>
      </c>
      <c r="AS19" s="116">
        <f>AP19/AG19</f>
        <v>0.56756756756756754</v>
      </c>
      <c r="AT19" s="116">
        <f t="shared" si="301"/>
        <v>0.85507246376811596</v>
      </c>
      <c r="AU19" s="116">
        <f t="shared" si="301"/>
        <v>0.67777777777777781</v>
      </c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12"/>
      <c r="BI19" s="112"/>
      <c r="BJ19" s="112"/>
      <c r="BK19" s="103"/>
      <c r="BL19" s="103"/>
      <c r="BM19" s="103"/>
      <c r="BN19" s="104"/>
      <c r="BO19" s="104"/>
      <c r="BP19" s="104"/>
      <c r="BQ19" s="104"/>
      <c r="BR19" s="104"/>
      <c r="BS19" s="104"/>
      <c r="BT19" s="104"/>
      <c r="BU19" s="104"/>
      <c r="BV19" s="104"/>
      <c r="BW19" s="112"/>
      <c r="BX19" s="112"/>
      <c r="BY19" s="112"/>
      <c r="BZ19" s="98">
        <f t="shared" ref="BZ19:CB22" si="323">AV19+BK19</f>
        <v>0</v>
      </c>
      <c r="CA19" s="98">
        <f t="shared" si="323"/>
        <v>0</v>
      </c>
      <c r="CB19" s="98">
        <f t="shared" si="323"/>
        <v>0</v>
      </c>
      <c r="CC19" s="103"/>
      <c r="CD19" s="103"/>
      <c r="CE19" s="103"/>
      <c r="CF19" s="103"/>
      <c r="CG19" s="103"/>
      <c r="CH19" s="103"/>
      <c r="CI19" s="103"/>
      <c r="CJ19" s="103"/>
      <c r="CK19" s="103"/>
      <c r="CL19" s="116">
        <v>0</v>
      </c>
      <c r="CM19" s="116">
        <v>0</v>
      </c>
      <c r="CN19" s="116">
        <v>0</v>
      </c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12"/>
      <c r="DB19" s="112"/>
      <c r="DC19" s="112"/>
      <c r="DD19" s="103"/>
      <c r="DE19" s="103"/>
      <c r="DF19" s="103"/>
      <c r="DG19" s="104"/>
      <c r="DH19" s="104"/>
      <c r="DI19" s="104"/>
      <c r="DJ19" s="104"/>
      <c r="DK19" s="104"/>
      <c r="DL19" s="104"/>
      <c r="DM19" s="104"/>
      <c r="DN19" s="104"/>
      <c r="DO19" s="104"/>
      <c r="DP19" s="112"/>
      <c r="DQ19" s="112"/>
      <c r="DR19" s="112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12"/>
      <c r="EF19" s="112"/>
      <c r="EG19" s="112"/>
      <c r="EH19" s="98">
        <f t="shared" si="318"/>
        <v>63</v>
      </c>
      <c r="EI19" s="98">
        <f t="shared" si="318"/>
        <v>59</v>
      </c>
      <c r="EJ19" s="98">
        <f t="shared" si="318"/>
        <v>122</v>
      </c>
      <c r="EK19" s="98">
        <v>0</v>
      </c>
      <c r="EL19" s="98">
        <v>3</v>
      </c>
      <c r="EM19" s="98">
        <f>EK19+EL19</f>
        <v>3</v>
      </c>
      <c r="EN19" s="98">
        <v>0</v>
      </c>
      <c r="EO19" s="100">
        <f>+EL19*100/EI19</f>
        <v>5.0847457627118642</v>
      </c>
      <c r="EP19" s="100">
        <f>+EM19*100/EJ19</f>
        <v>2.459016393442623</v>
      </c>
      <c r="EQ19" s="103"/>
      <c r="ER19" s="103"/>
      <c r="ES19" s="103"/>
      <c r="ET19" s="103"/>
      <c r="EU19" s="103"/>
      <c r="EV19" s="103"/>
      <c r="EW19" s="110"/>
      <c r="EX19" s="110"/>
      <c r="EY19" s="110"/>
      <c r="EZ19" s="103"/>
      <c r="FA19" s="103"/>
      <c r="FB19" s="103"/>
      <c r="FC19" s="103"/>
      <c r="FD19" s="103"/>
      <c r="FE19" s="103"/>
      <c r="FF19" s="110"/>
      <c r="FG19" s="110"/>
      <c r="FH19" s="110"/>
    </row>
    <row r="20" spans="1:164" ht="27" customHeight="1" x14ac:dyDescent="0.25">
      <c r="A20" s="94">
        <v>11</v>
      </c>
      <c r="B20" s="118" t="s">
        <v>144</v>
      </c>
      <c r="C20" s="96">
        <v>440</v>
      </c>
      <c r="D20" s="96">
        <v>312</v>
      </c>
      <c r="E20" s="96">
        <f>C20+D20</f>
        <v>752</v>
      </c>
      <c r="F20" s="96">
        <v>399</v>
      </c>
      <c r="G20" s="96">
        <v>297</v>
      </c>
      <c r="H20" s="96">
        <f>F20+G20</f>
        <v>696</v>
      </c>
      <c r="I20" s="96">
        <v>10</v>
      </c>
      <c r="J20" s="96">
        <v>2</v>
      </c>
      <c r="K20" s="96">
        <f>I20+J20</f>
        <v>12</v>
      </c>
      <c r="L20" s="97">
        <f t="shared" si="287"/>
        <v>409</v>
      </c>
      <c r="M20" s="98">
        <f t="shared" si="287"/>
        <v>299</v>
      </c>
      <c r="N20" s="98">
        <f t="shared" si="287"/>
        <v>708</v>
      </c>
      <c r="O20" s="116">
        <f>L20/C20</f>
        <v>0.92954545454545456</v>
      </c>
      <c r="P20" s="116">
        <f>M20/D20</f>
        <v>0.95833333333333337</v>
      </c>
      <c r="Q20" s="116">
        <f t="shared" ref="Q20" si="324">N20/E20</f>
        <v>0.94148936170212771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12"/>
      <c r="AE20" s="112"/>
      <c r="AF20" s="112"/>
      <c r="AG20" s="98">
        <f t="shared" si="321"/>
        <v>440</v>
      </c>
      <c r="AH20" s="98">
        <f t="shared" si="321"/>
        <v>312</v>
      </c>
      <c r="AI20" s="98">
        <f t="shared" si="321"/>
        <v>752</v>
      </c>
      <c r="AJ20" s="98">
        <f t="shared" si="321"/>
        <v>399</v>
      </c>
      <c r="AK20" s="98">
        <f t="shared" si="321"/>
        <v>297</v>
      </c>
      <c r="AL20" s="98">
        <f t="shared" si="321"/>
        <v>696</v>
      </c>
      <c r="AM20" s="98">
        <f>I20+X20</f>
        <v>10</v>
      </c>
      <c r="AN20" s="98">
        <f>J20+Y20</f>
        <v>2</v>
      </c>
      <c r="AO20" s="98">
        <f>K20+Z20</f>
        <v>12</v>
      </c>
      <c r="AP20" s="98">
        <f t="shared" si="322"/>
        <v>409</v>
      </c>
      <c r="AQ20" s="98">
        <f t="shared" si="322"/>
        <v>299</v>
      </c>
      <c r="AR20" s="98">
        <f t="shared" si="322"/>
        <v>708</v>
      </c>
      <c r="AS20" s="116">
        <f>AP20/AG20</f>
        <v>0.92954545454545456</v>
      </c>
      <c r="AT20" s="116">
        <f t="shared" si="301"/>
        <v>0.95833333333333337</v>
      </c>
      <c r="AU20" s="116">
        <f t="shared" si="301"/>
        <v>0.94148936170212771</v>
      </c>
      <c r="AV20" s="99">
        <v>38</v>
      </c>
      <c r="AW20" s="99">
        <v>50</v>
      </c>
      <c r="AX20" s="99">
        <f>+AV20+AW20</f>
        <v>88</v>
      </c>
      <c r="AY20" s="99">
        <v>35</v>
      </c>
      <c r="AZ20" s="99">
        <v>46</v>
      </c>
      <c r="BA20" s="99">
        <f>+AY20+AZ20</f>
        <v>81</v>
      </c>
      <c r="BB20" s="99">
        <v>1</v>
      </c>
      <c r="BC20" s="99">
        <v>2</v>
      </c>
      <c r="BD20" s="99">
        <f>+BB20+BC20</f>
        <v>3</v>
      </c>
      <c r="BE20" s="99">
        <f>+AY20+BB20</f>
        <v>36</v>
      </c>
      <c r="BF20" s="99">
        <f>+AZ20+BC20</f>
        <v>48</v>
      </c>
      <c r="BG20" s="99">
        <f>+BA20+BD20</f>
        <v>84</v>
      </c>
      <c r="BH20" s="116">
        <f>BE20/AV20</f>
        <v>0.94736842105263153</v>
      </c>
      <c r="BI20" s="116">
        <f>BF20/AW20</f>
        <v>0.96</v>
      </c>
      <c r="BJ20" s="116">
        <f>BG20/AX20</f>
        <v>0.95454545454545459</v>
      </c>
      <c r="BK20" s="103"/>
      <c r="BL20" s="103"/>
      <c r="BM20" s="103"/>
      <c r="BN20" s="104"/>
      <c r="BO20" s="104"/>
      <c r="BP20" s="104"/>
      <c r="BQ20" s="104"/>
      <c r="BR20" s="104"/>
      <c r="BS20" s="104"/>
      <c r="BT20" s="104"/>
      <c r="BU20" s="104"/>
      <c r="BV20" s="104"/>
      <c r="BW20" s="112"/>
      <c r="BX20" s="112"/>
      <c r="BY20" s="112"/>
      <c r="BZ20" s="98">
        <f t="shared" si="323"/>
        <v>38</v>
      </c>
      <c r="CA20" s="98">
        <f t="shared" si="323"/>
        <v>50</v>
      </c>
      <c r="CB20" s="98">
        <f t="shared" si="323"/>
        <v>88</v>
      </c>
      <c r="CC20" s="98">
        <f t="shared" ref="CC20:CK20" si="325">AY20+BN20</f>
        <v>35</v>
      </c>
      <c r="CD20" s="98">
        <f t="shared" si="325"/>
        <v>46</v>
      </c>
      <c r="CE20" s="98">
        <f t="shared" si="325"/>
        <v>81</v>
      </c>
      <c r="CF20" s="98">
        <f t="shared" si="325"/>
        <v>1</v>
      </c>
      <c r="CG20" s="98">
        <f t="shared" si="325"/>
        <v>2</v>
      </c>
      <c r="CH20" s="98">
        <f t="shared" si="325"/>
        <v>3</v>
      </c>
      <c r="CI20" s="98">
        <f t="shared" si="325"/>
        <v>36</v>
      </c>
      <c r="CJ20" s="98">
        <f t="shared" si="325"/>
        <v>48</v>
      </c>
      <c r="CK20" s="98">
        <f t="shared" si="325"/>
        <v>84</v>
      </c>
      <c r="CL20" s="116">
        <f>CI20/BZ20</f>
        <v>0.94736842105263153</v>
      </c>
      <c r="CM20" s="116">
        <f>CJ20/CA20</f>
        <v>0.96</v>
      </c>
      <c r="CN20" s="116">
        <f>CK20/CB20</f>
        <v>0.95454545454545459</v>
      </c>
      <c r="CO20" s="99">
        <v>179</v>
      </c>
      <c r="CP20" s="99">
        <v>106</v>
      </c>
      <c r="CQ20" s="99">
        <f>+CO20+CP20</f>
        <v>285</v>
      </c>
      <c r="CR20" s="99">
        <v>174</v>
      </c>
      <c r="CS20" s="99">
        <v>102</v>
      </c>
      <c r="CT20" s="99">
        <f>+CR20+CS20</f>
        <v>276</v>
      </c>
      <c r="CU20" s="99">
        <v>1</v>
      </c>
      <c r="CV20" s="99">
        <v>1</v>
      </c>
      <c r="CW20" s="99">
        <f>+CU20+CV20</f>
        <v>2</v>
      </c>
      <c r="CX20" s="99">
        <f>+CR20+CU20</f>
        <v>175</v>
      </c>
      <c r="CY20" s="99">
        <f>+CS20+CV20</f>
        <v>103</v>
      </c>
      <c r="CZ20" s="99">
        <f>+CT20+CW20</f>
        <v>278</v>
      </c>
      <c r="DA20" s="116">
        <f>CX20/CO20</f>
        <v>0.97765363128491622</v>
      </c>
      <c r="DB20" s="116">
        <f>CY20/CP20</f>
        <v>0.97169811320754718</v>
      </c>
      <c r="DC20" s="116">
        <f>CZ20/CQ20</f>
        <v>0.9754385964912281</v>
      </c>
      <c r="DD20" s="103"/>
      <c r="DE20" s="103"/>
      <c r="DF20" s="103"/>
      <c r="DG20" s="104"/>
      <c r="DH20" s="104"/>
      <c r="DI20" s="104"/>
      <c r="DJ20" s="104"/>
      <c r="DK20" s="104"/>
      <c r="DL20" s="104"/>
      <c r="DM20" s="104"/>
      <c r="DN20" s="104"/>
      <c r="DO20" s="104"/>
      <c r="DP20" s="112"/>
      <c r="DQ20" s="112"/>
      <c r="DR20" s="112"/>
      <c r="DS20" s="98">
        <f t="shared" ref="DS20:ED20" si="326">CO20+DD20</f>
        <v>179</v>
      </c>
      <c r="DT20" s="98">
        <f t="shared" si="326"/>
        <v>106</v>
      </c>
      <c r="DU20" s="98">
        <f t="shared" si="326"/>
        <v>285</v>
      </c>
      <c r="DV20" s="98">
        <f t="shared" si="326"/>
        <v>174</v>
      </c>
      <c r="DW20" s="98">
        <f t="shared" si="326"/>
        <v>102</v>
      </c>
      <c r="DX20" s="98">
        <f t="shared" si="326"/>
        <v>276</v>
      </c>
      <c r="DY20" s="98">
        <f t="shared" si="326"/>
        <v>1</v>
      </c>
      <c r="DZ20" s="98">
        <f t="shared" si="326"/>
        <v>1</v>
      </c>
      <c r="EA20" s="98">
        <f t="shared" si="326"/>
        <v>2</v>
      </c>
      <c r="EB20" s="98">
        <f t="shared" si="326"/>
        <v>175</v>
      </c>
      <c r="EC20" s="98">
        <f t="shared" si="326"/>
        <v>103</v>
      </c>
      <c r="ED20" s="98">
        <f t="shared" si="326"/>
        <v>278</v>
      </c>
      <c r="EE20" s="116">
        <f>EB20/DS20</f>
        <v>0.97765363128491622</v>
      </c>
      <c r="EF20" s="116">
        <f>EC20/DT20</f>
        <v>0.97169811320754718</v>
      </c>
      <c r="EG20" s="116">
        <f>ED20/DU20</f>
        <v>0.9754385964912281</v>
      </c>
      <c r="EH20" s="98">
        <f t="shared" si="318"/>
        <v>409</v>
      </c>
      <c r="EI20" s="98">
        <f t="shared" si="318"/>
        <v>299</v>
      </c>
      <c r="EJ20" s="98">
        <f t="shared" si="318"/>
        <v>708</v>
      </c>
      <c r="EK20" s="98">
        <v>127</v>
      </c>
      <c r="EL20" s="98">
        <v>92</v>
      </c>
      <c r="EM20" s="98">
        <f>EK20+EL20</f>
        <v>219</v>
      </c>
      <c r="EN20" s="100">
        <f>+EK20*100/EH20</f>
        <v>31.051344743276285</v>
      </c>
      <c r="EO20" s="100">
        <f>+EL20*100/EI20</f>
        <v>30.76923076923077</v>
      </c>
      <c r="EP20" s="100">
        <f>+EM20*100/EJ20</f>
        <v>30.932203389830509</v>
      </c>
      <c r="EQ20" s="98">
        <f>+CI20</f>
        <v>36</v>
      </c>
      <c r="ER20" s="98">
        <f>+CJ20</f>
        <v>48</v>
      </c>
      <c r="ES20" s="98">
        <f>+CK20</f>
        <v>84</v>
      </c>
      <c r="ET20" s="98">
        <v>13</v>
      </c>
      <c r="EU20" s="98">
        <v>19</v>
      </c>
      <c r="EV20" s="98">
        <f>ET20+EU20</f>
        <v>32</v>
      </c>
      <c r="EW20" s="100">
        <f>+ET20*100/EQ20</f>
        <v>36.111111111111114</v>
      </c>
      <c r="EX20" s="100">
        <f>+EU20*100/ER20</f>
        <v>39.583333333333336</v>
      </c>
      <c r="EY20" s="100">
        <f>+EV20*100/ES20</f>
        <v>38.095238095238095</v>
      </c>
      <c r="EZ20" s="98">
        <f>+EB20</f>
        <v>175</v>
      </c>
      <c r="FA20" s="98">
        <f>+EC20</f>
        <v>103</v>
      </c>
      <c r="FB20" s="98">
        <f>+ED20</f>
        <v>278</v>
      </c>
      <c r="FC20" s="98">
        <v>87</v>
      </c>
      <c r="FD20" s="98">
        <v>45</v>
      </c>
      <c r="FE20" s="98">
        <f>FC20+FD20</f>
        <v>132</v>
      </c>
      <c r="FF20" s="100">
        <f>+FC20*100/EZ20</f>
        <v>49.714285714285715</v>
      </c>
      <c r="FG20" s="100">
        <f>+FD20*100/FA20</f>
        <v>43.689320388349515</v>
      </c>
      <c r="FH20" s="100">
        <f>+FE20*100/FB20</f>
        <v>47.482014388489212</v>
      </c>
    </row>
    <row r="21" spans="1:164" ht="28.5" x14ac:dyDescent="0.25">
      <c r="A21" s="94">
        <v>12</v>
      </c>
      <c r="B21" s="371" t="s">
        <v>148</v>
      </c>
      <c r="C21" s="96">
        <v>9163</v>
      </c>
      <c r="D21" s="96">
        <v>9599</v>
      </c>
      <c r="E21" s="96">
        <f>C21+D21</f>
        <v>18762</v>
      </c>
      <c r="F21" s="96">
        <v>8381</v>
      </c>
      <c r="G21" s="96">
        <v>8844</v>
      </c>
      <c r="H21" s="96">
        <f>F21+G21</f>
        <v>17225</v>
      </c>
      <c r="I21" s="96">
        <v>265</v>
      </c>
      <c r="J21" s="96">
        <v>273</v>
      </c>
      <c r="K21" s="96">
        <f>I21+J21</f>
        <v>538</v>
      </c>
      <c r="L21" s="97">
        <f t="shared" si="287"/>
        <v>8646</v>
      </c>
      <c r="M21" s="98">
        <f t="shared" si="287"/>
        <v>9117</v>
      </c>
      <c r="N21" s="98">
        <f t="shared" si="287"/>
        <v>17763</v>
      </c>
      <c r="O21" s="116">
        <f t="shared" ref="O21:O22" si="327">L21/C21</f>
        <v>0.943577430972389</v>
      </c>
      <c r="P21" s="116">
        <f t="shared" ref="P21:P22" si="328">M21/D21</f>
        <v>0.94978643608709246</v>
      </c>
      <c r="Q21" s="116">
        <f t="shared" ref="Q21:Q22" si="329">N21/E21</f>
        <v>0.94675407739047013</v>
      </c>
      <c r="R21" s="98">
        <v>363</v>
      </c>
      <c r="S21" s="98">
        <v>230</v>
      </c>
      <c r="T21" s="98">
        <f t="shared" ref="T21:T22" si="330">R21+S21</f>
        <v>593</v>
      </c>
      <c r="U21" s="98">
        <v>145</v>
      </c>
      <c r="V21" s="98">
        <v>98</v>
      </c>
      <c r="W21" s="98">
        <f t="shared" ref="W21:W22" si="331">U21+V21</f>
        <v>243</v>
      </c>
      <c r="X21" s="98">
        <v>35</v>
      </c>
      <c r="Y21" s="98">
        <v>22</v>
      </c>
      <c r="Z21" s="98">
        <f t="shared" ref="Z21:Z22" si="332">X21+Y21</f>
        <v>57</v>
      </c>
      <c r="AA21" s="98">
        <f t="shared" ref="AA21:AA22" si="333">U21+X21</f>
        <v>180</v>
      </c>
      <c r="AB21" s="98">
        <f t="shared" ref="AB21:AB22" si="334">V21+Y21</f>
        <v>120</v>
      </c>
      <c r="AC21" s="98">
        <f t="shared" ref="AC21:AC22" si="335">W21+Z21</f>
        <v>300</v>
      </c>
      <c r="AD21" s="116">
        <f t="shared" ref="AD21:AD22" si="336">AA21/R21</f>
        <v>0.49586776859504134</v>
      </c>
      <c r="AE21" s="116">
        <f t="shared" ref="AE21:AE22" si="337">AB21/S21</f>
        <v>0.52173913043478259</v>
      </c>
      <c r="AF21" s="116">
        <f t="shared" ref="AF21:AF22" si="338">AC21/T21</f>
        <v>0.50590219224283306</v>
      </c>
      <c r="AG21" s="98">
        <f t="shared" ref="AG21:AG22" si="339">C21+R21</f>
        <v>9526</v>
      </c>
      <c r="AH21" s="98">
        <f t="shared" ref="AH21:AH22" si="340">D21+S21</f>
        <v>9829</v>
      </c>
      <c r="AI21" s="98">
        <f t="shared" ref="AI21:AI22" si="341">E21+T21</f>
        <v>19355</v>
      </c>
      <c r="AJ21" s="98">
        <f t="shared" ref="AJ21:AJ22" si="342">F21+U21</f>
        <v>8526</v>
      </c>
      <c r="AK21" s="98">
        <f t="shared" ref="AK21:AK22" si="343">G21+V21</f>
        <v>8942</v>
      </c>
      <c r="AL21" s="98">
        <f t="shared" ref="AL21:AL22" si="344">H21+W21</f>
        <v>17468</v>
      </c>
      <c r="AM21" s="98">
        <f t="shared" ref="AM21:AM22" si="345">I21+X21</f>
        <v>300</v>
      </c>
      <c r="AN21" s="98">
        <f t="shared" ref="AN21:AN22" si="346">J21+Y21</f>
        <v>295</v>
      </c>
      <c r="AO21" s="98">
        <f t="shared" ref="AO21:AO22" si="347">K21+Z21</f>
        <v>595</v>
      </c>
      <c r="AP21" s="98">
        <f t="shared" ref="AP21:AP22" si="348">L21+AA21</f>
        <v>8826</v>
      </c>
      <c r="AQ21" s="98">
        <f t="shared" ref="AQ21:AQ22" si="349">M21+AB21</f>
        <v>9237</v>
      </c>
      <c r="AR21" s="98">
        <f t="shared" ref="AR21:AR22" si="350">N21+AC21</f>
        <v>18063</v>
      </c>
      <c r="AS21" s="116">
        <f t="shared" ref="AS21:AS22" si="351">AP21/AG21</f>
        <v>0.9265169011127441</v>
      </c>
      <c r="AT21" s="116">
        <f t="shared" ref="AT21:AT22" si="352">AQ21/AH21</f>
        <v>0.93977006816563236</v>
      </c>
      <c r="AU21" s="116">
        <f t="shared" ref="AU21:AU22" si="353">AR21/AI21</f>
        <v>0.93324722293980888</v>
      </c>
      <c r="AV21" s="99">
        <v>108</v>
      </c>
      <c r="AW21" s="99">
        <v>148</v>
      </c>
      <c r="AX21" s="99">
        <f t="shared" ref="AX21:AX22" si="354">+AV21+AW21</f>
        <v>256</v>
      </c>
      <c r="AY21" s="99">
        <v>96</v>
      </c>
      <c r="AZ21" s="99">
        <v>128</v>
      </c>
      <c r="BA21" s="99">
        <f t="shared" ref="BA21:BA22" si="355">+AY21+AZ21</f>
        <v>224</v>
      </c>
      <c r="BB21" s="99">
        <v>3</v>
      </c>
      <c r="BC21" s="99">
        <v>8</v>
      </c>
      <c r="BD21" s="99">
        <f t="shared" ref="BD21:BD22" si="356">+BB21+BC21</f>
        <v>11</v>
      </c>
      <c r="BE21" s="99">
        <f t="shared" ref="BE21:BE22" si="357">+AY21+BB21</f>
        <v>99</v>
      </c>
      <c r="BF21" s="99">
        <f t="shared" ref="BF21:BF22" si="358">+AZ21+BC21</f>
        <v>136</v>
      </c>
      <c r="BG21" s="99">
        <f t="shared" ref="BG21:BG22" si="359">+BA21+BD21</f>
        <v>235</v>
      </c>
      <c r="BH21" s="116">
        <f t="shared" ref="BH21:BH22" si="360">BE21/AV21</f>
        <v>0.91666666666666663</v>
      </c>
      <c r="BI21" s="116">
        <f t="shared" ref="BI21:BI22" si="361">BF21/AW21</f>
        <v>0.91891891891891897</v>
      </c>
      <c r="BJ21" s="116">
        <f t="shared" ref="BJ21:BJ22" si="362">BG21/AX21</f>
        <v>0.91796875</v>
      </c>
      <c r="BK21" s="95">
        <v>13</v>
      </c>
      <c r="BL21" s="95">
        <v>7</v>
      </c>
      <c r="BM21" s="98">
        <f t="shared" ref="BM21:BM22" si="363">BK21+BL21</f>
        <v>20</v>
      </c>
      <c r="BN21" s="99">
        <v>7</v>
      </c>
      <c r="BO21" s="99">
        <v>3</v>
      </c>
      <c r="BP21" s="99">
        <f t="shared" ref="BP21:BP22" si="364">BN21+BO21</f>
        <v>10</v>
      </c>
      <c r="BQ21" s="99">
        <v>2</v>
      </c>
      <c r="BR21" s="99">
        <v>0</v>
      </c>
      <c r="BS21" s="99">
        <f t="shared" ref="BS21:BS22" si="365">BQ21+BR21</f>
        <v>2</v>
      </c>
      <c r="BT21" s="99">
        <f t="shared" ref="BT21:BT22" si="366">+BN21+BQ21</f>
        <v>9</v>
      </c>
      <c r="BU21" s="99">
        <f t="shared" ref="BU21:BU22" si="367">+BO21+BR21</f>
        <v>3</v>
      </c>
      <c r="BV21" s="99">
        <f t="shared" ref="BV21:BV22" si="368">+BP21+BS21</f>
        <v>12</v>
      </c>
      <c r="BW21" s="116">
        <f t="shared" ref="BW21:BW22" si="369">BT21/BK21</f>
        <v>0.69230769230769229</v>
      </c>
      <c r="BX21" s="116">
        <f t="shared" ref="BX21:BX22" si="370">BU21/BL21</f>
        <v>0.42857142857142855</v>
      </c>
      <c r="BY21" s="116">
        <f t="shared" ref="BY21:BY22" si="371">BV21/BM21</f>
        <v>0.6</v>
      </c>
      <c r="BZ21" s="98">
        <f t="shared" si="323"/>
        <v>121</v>
      </c>
      <c r="CA21" s="98">
        <f t="shared" si="323"/>
        <v>155</v>
      </c>
      <c r="CB21" s="98">
        <f t="shared" si="323"/>
        <v>276</v>
      </c>
      <c r="CC21" s="98">
        <f t="shared" ref="CC21:CC22" si="372">AY21+BN21</f>
        <v>103</v>
      </c>
      <c r="CD21" s="98">
        <f t="shared" ref="CD21:CD22" si="373">AZ21+BO21</f>
        <v>131</v>
      </c>
      <c r="CE21" s="98">
        <f t="shared" ref="CE21:CE22" si="374">BA21+BP21</f>
        <v>234</v>
      </c>
      <c r="CF21" s="98">
        <f t="shared" ref="CF21:CF22" si="375">BB21+BQ21</f>
        <v>5</v>
      </c>
      <c r="CG21" s="98">
        <f t="shared" ref="CG21:CG22" si="376">BC21+BR21</f>
        <v>8</v>
      </c>
      <c r="CH21" s="98">
        <f t="shared" ref="CH21:CH22" si="377">BD21+BS21</f>
        <v>13</v>
      </c>
      <c r="CI21" s="98">
        <f t="shared" ref="CI21" si="378">BE21+BT21</f>
        <v>108</v>
      </c>
      <c r="CJ21" s="98">
        <f t="shared" ref="CJ21" si="379">BF21+BU21</f>
        <v>139</v>
      </c>
      <c r="CK21" s="98">
        <f t="shared" ref="CK21" si="380">BG21+BV21</f>
        <v>247</v>
      </c>
      <c r="CL21" s="116">
        <f t="shared" ref="CL21:CL22" si="381">CI21/BZ21</f>
        <v>0.8925619834710744</v>
      </c>
      <c r="CM21" s="116">
        <f t="shared" ref="CM21:CM22" si="382">CJ21/CA21</f>
        <v>0.89677419354838706</v>
      </c>
      <c r="CN21" s="116">
        <f t="shared" ref="CN21:CN22" si="383">CK21/CB21</f>
        <v>0.89492753623188404</v>
      </c>
      <c r="CO21" s="99">
        <v>1028</v>
      </c>
      <c r="CP21" s="99">
        <v>1118</v>
      </c>
      <c r="CQ21" s="99">
        <f t="shared" ref="CQ21:CQ22" si="384">+CO21+CP21</f>
        <v>2146</v>
      </c>
      <c r="CR21" s="99">
        <v>937</v>
      </c>
      <c r="CS21" s="99">
        <v>1028</v>
      </c>
      <c r="CT21" s="99">
        <f t="shared" ref="CT21:CT22" si="385">+CR21+CS21</f>
        <v>1965</v>
      </c>
      <c r="CU21" s="99">
        <v>29</v>
      </c>
      <c r="CV21" s="99">
        <v>39</v>
      </c>
      <c r="CW21" s="99">
        <f t="shared" ref="CW21:CW22" si="386">+CU21+CV21</f>
        <v>68</v>
      </c>
      <c r="CX21" s="99">
        <f t="shared" ref="CX21:CX22" si="387">+CR21+CU21</f>
        <v>966</v>
      </c>
      <c r="CY21" s="99">
        <f>+CS21+CV21</f>
        <v>1067</v>
      </c>
      <c r="CZ21" s="99">
        <f t="shared" ref="CZ21:CZ22" si="388">+CT21+CW21</f>
        <v>2033</v>
      </c>
      <c r="DA21" s="116">
        <f t="shared" ref="DA21:DA22" si="389">CX21/CO21</f>
        <v>0.93968871595330739</v>
      </c>
      <c r="DB21" s="116">
        <f t="shared" ref="DB21:DB22" si="390">CY21/CP21</f>
        <v>0.95438282647584971</v>
      </c>
      <c r="DC21" s="116">
        <f t="shared" ref="DC21:DC22" si="391">CZ21/CQ21</f>
        <v>0.94734389561975774</v>
      </c>
      <c r="DD21" s="95">
        <v>42</v>
      </c>
      <c r="DE21" s="95">
        <v>30</v>
      </c>
      <c r="DF21" s="98">
        <f t="shared" ref="DF21:DF22" si="392">DD21+DE21</f>
        <v>72</v>
      </c>
      <c r="DG21" s="99">
        <v>19</v>
      </c>
      <c r="DH21" s="99">
        <v>13</v>
      </c>
      <c r="DI21" s="99">
        <f t="shared" ref="DI21:DI22" si="393">+DG21+DH21</f>
        <v>32</v>
      </c>
      <c r="DJ21" s="99">
        <v>6</v>
      </c>
      <c r="DK21" s="99">
        <v>3</v>
      </c>
      <c r="DL21" s="99">
        <f t="shared" ref="DL21:DL22" si="394">DJ21+DK21</f>
        <v>9</v>
      </c>
      <c r="DM21" s="99">
        <f t="shared" ref="DM21:DM22" si="395">+DG21+DJ21</f>
        <v>25</v>
      </c>
      <c r="DN21" s="99">
        <f t="shared" ref="DN21:DN22" si="396">+DH21+DK21</f>
        <v>16</v>
      </c>
      <c r="DO21" s="99">
        <f t="shared" ref="DO21:DO22" si="397">+DI21+DL21</f>
        <v>41</v>
      </c>
      <c r="DP21" s="116">
        <f t="shared" ref="DP21:DP22" si="398">DM21/DD21</f>
        <v>0.59523809523809523</v>
      </c>
      <c r="DQ21" s="116">
        <f t="shared" ref="DQ21:DQ22" si="399">DN21/DE21</f>
        <v>0.53333333333333333</v>
      </c>
      <c r="DR21" s="116">
        <f t="shared" ref="DR21:DR22" si="400">DO21/DF21</f>
        <v>0.56944444444444442</v>
      </c>
      <c r="DS21" s="98">
        <f t="shared" ref="DS21:DS22" si="401">CO21+DD21</f>
        <v>1070</v>
      </c>
      <c r="DT21" s="98">
        <f t="shared" ref="DT21:DT22" si="402">CP21+DE21</f>
        <v>1148</v>
      </c>
      <c r="DU21" s="98">
        <f t="shared" ref="DU21:DU22" si="403">CQ21+DF21</f>
        <v>2218</v>
      </c>
      <c r="DV21" s="98">
        <f t="shared" ref="DV21:DV22" si="404">CR21+DG21</f>
        <v>956</v>
      </c>
      <c r="DW21" s="98">
        <f t="shared" ref="DW21:DW22" si="405">CS21+DH21</f>
        <v>1041</v>
      </c>
      <c r="DX21" s="98">
        <f t="shared" ref="DX21:DX22" si="406">CT21+DI21</f>
        <v>1997</v>
      </c>
      <c r="DY21" s="98">
        <f t="shared" ref="DY21:DY22" si="407">CU21+DJ21</f>
        <v>35</v>
      </c>
      <c r="DZ21" s="98">
        <f t="shared" ref="DZ21:DZ22" si="408">CV21+DK21</f>
        <v>42</v>
      </c>
      <c r="EA21" s="98">
        <f t="shared" ref="EA21:EA22" si="409">CW21+DL21</f>
        <v>77</v>
      </c>
      <c r="EB21" s="98">
        <f t="shared" ref="EB21:EB22" si="410">CX21+DM21</f>
        <v>991</v>
      </c>
      <c r="EC21" s="98">
        <f t="shared" ref="EC21:EC22" si="411">CY21+DN21</f>
        <v>1083</v>
      </c>
      <c r="ED21" s="98">
        <f t="shared" ref="ED21:ED22" si="412">CZ21+DO21</f>
        <v>2074</v>
      </c>
      <c r="EE21" s="116">
        <f t="shared" ref="EE21:EE22" si="413">EB21/DS21</f>
        <v>0.92616822429906542</v>
      </c>
      <c r="EF21" s="116">
        <f t="shared" ref="EF21:EF22" si="414">EC21/DT21</f>
        <v>0.94337979094076652</v>
      </c>
      <c r="EG21" s="116">
        <f t="shared" ref="EG21:EG22" si="415">ED21/DU21</f>
        <v>0.93507664562669068</v>
      </c>
      <c r="EH21" s="98">
        <f t="shared" ref="EH21:EH22" si="416">+AP21</f>
        <v>8826</v>
      </c>
      <c r="EI21" s="98">
        <f t="shared" ref="EI21:EI22" si="417">+AQ21</f>
        <v>9237</v>
      </c>
      <c r="EJ21" s="98">
        <f t="shared" ref="EJ21:EJ22" si="418">+AR21</f>
        <v>18063</v>
      </c>
      <c r="EK21" s="101">
        <v>3977</v>
      </c>
      <c r="EL21" s="101">
        <v>5501</v>
      </c>
      <c r="EM21" s="98">
        <f t="shared" ref="EM21:EM22" si="419">EK21+EL21</f>
        <v>9478</v>
      </c>
      <c r="EN21" s="100">
        <f t="shared" ref="EN21" si="420">+EK21*100/EH21</f>
        <v>45.060049852707905</v>
      </c>
      <c r="EO21" s="100">
        <f t="shared" ref="EO21" si="421">+EL21*100/EI21</f>
        <v>59.55396773844322</v>
      </c>
      <c r="EP21" s="100">
        <f t="shared" ref="EP21" si="422">+EM21*100/EJ21</f>
        <v>52.471903891933785</v>
      </c>
      <c r="EQ21" s="98">
        <f t="shared" ref="EQ21:EQ22" si="423">+CI21</f>
        <v>108</v>
      </c>
      <c r="ER21" s="98">
        <f t="shared" ref="ER21:ER22" si="424">+CJ21</f>
        <v>139</v>
      </c>
      <c r="ES21" s="98">
        <f t="shared" ref="ES21:ES22" si="425">+CK21</f>
        <v>247</v>
      </c>
      <c r="ET21" s="101">
        <v>33</v>
      </c>
      <c r="EU21" s="101">
        <v>59</v>
      </c>
      <c r="EV21" s="98">
        <f t="shared" ref="EV21:EV22" si="426">ET21+EU21</f>
        <v>92</v>
      </c>
      <c r="EW21" s="100">
        <f t="shared" ref="EW21:EW22" si="427">+ET21*100/EQ21</f>
        <v>30.555555555555557</v>
      </c>
      <c r="EX21" s="100">
        <f t="shared" ref="EX21:EX22" si="428">+EU21*100/ER21</f>
        <v>42.446043165467628</v>
      </c>
      <c r="EY21" s="100">
        <f t="shared" ref="EY21:EY22" si="429">+EV21*100/ES21</f>
        <v>37.246963562753038</v>
      </c>
      <c r="EZ21" s="98">
        <f t="shared" ref="EZ21:EZ22" si="430">+EB21</f>
        <v>991</v>
      </c>
      <c r="FA21" s="98">
        <f t="shared" ref="FA21:FA22" si="431">+EC21</f>
        <v>1083</v>
      </c>
      <c r="FB21" s="98">
        <f t="shared" ref="FB21:FB22" si="432">+ED21</f>
        <v>2074</v>
      </c>
      <c r="FC21" s="101">
        <v>357</v>
      </c>
      <c r="FD21" s="101">
        <v>524</v>
      </c>
      <c r="FE21" s="98">
        <f t="shared" ref="FE21:FE22" si="433">FC21+FD21</f>
        <v>881</v>
      </c>
      <c r="FF21" s="100">
        <f t="shared" ref="FF21:FF22" si="434">+FC21*100/EZ21</f>
        <v>36.024217961654891</v>
      </c>
      <c r="FG21" s="100">
        <f t="shared" ref="FG21:FG22" si="435">+FD21*100/FA21</f>
        <v>48.384118190212376</v>
      </c>
      <c r="FH21" s="100">
        <f t="shared" ref="FH21:FH22" si="436">+FE21*100/FB21</f>
        <v>42.478302796528446</v>
      </c>
    </row>
    <row r="22" spans="1:164" ht="27" customHeight="1" x14ac:dyDescent="0.25">
      <c r="A22" s="94">
        <v>13</v>
      </c>
      <c r="B22" s="118" t="s">
        <v>149</v>
      </c>
      <c r="C22" s="96">
        <v>453666</v>
      </c>
      <c r="D22" s="96">
        <v>315400</v>
      </c>
      <c r="E22" s="96">
        <f t="shared" ref="E22" si="437">C22+D22</f>
        <v>769066</v>
      </c>
      <c r="F22" s="96">
        <v>293426</v>
      </c>
      <c r="G22" s="96">
        <v>231483</v>
      </c>
      <c r="H22" s="96">
        <f t="shared" ref="H22" si="438">F22+G22</f>
        <v>524909</v>
      </c>
      <c r="I22" s="96">
        <v>3376</v>
      </c>
      <c r="J22" s="96">
        <v>2956</v>
      </c>
      <c r="K22" s="96">
        <f t="shared" ref="K22" si="439">I22+J22</f>
        <v>6332</v>
      </c>
      <c r="L22" s="97">
        <f t="shared" si="287"/>
        <v>296802</v>
      </c>
      <c r="M22" s="98">
        <f t="shared" si="287"/>
        <v>234439</v>
      </c>
      <c r="N22" s="98">
        <f t="shared" si="287"/>
        <v>531241</v>
      </c>
      <c r="O22" s="116">
        <f t="shared" si="327"/>
        <v>0.65423020459985981</v>
      </c>
      <c r="P22" s="116">
        <f t="shared" si="328"/>
        <v>0.74330691185795816</v>
      </c>
      <c r="Q22" s="116">
        <f t="shared" si="329"/>
        <v>0.69076126106211955</v>
      </c>
      <c r="R22" s="98">
        <v>25216</v>
      </c>
      <c r="S22" s="98">
        <v>9449</v>
      </c>
      <c r="T22" s="98">
        <f t="shared" si="330"/>
        <v>34665</v>
      </c>
      <c r="U22" s="98">
        <v>1426</v>
      </c>
      <c r="V22" s="98">
        <v>950</v>
      </c>
      <c r="W22" s="98">
        <f t="shared" si="331"/>
        <v>2376</v>
      </c>
      <c r="X22" s="98">
        <v>140</v>
      </c>
      <c r="Y22" s="98">
        <v>173</v>
      </c>
      <c r="Z22" s="98">
        <f t="shared" si="332"/>
        <v>313</v>
      </c>
      <c r="AA22" s="98">
        <f t="shared" si="333"/>
        <v>1566</v>
      </c>
      <c r="AB22" s="98">
        <f t="shared" si="334"/>
        <v>1123</v>
      </c>
      <c r="AC22" s="98">
        <f t="shared" si="335"/>
        <v>2689</v>
      </c>
      <c r="AD22" s="116">
        <f t="shared" si="336"/>
        <v>6.2103426395939083E-2</v>
      </c>
      <c r="AE22" s="116">
        <f t="shared" si="337"/>
        <v>0.11884855540268811</v>
      </c>
      <c r="AF22" s="116">
        <f t="shared" si="338"/>
        <v>7.7571037069089854E-2</v>
      </c>
      <c r="AG22" s="98">
        <f t="shared" si="339"/>
        <v>478882</v>
      </c>
      <c r="AH22" s="98">
        <f t="shared" si="340"/>
        <v>324849</v>
      </c>
      <c r="AI22" s="98">
        <f t="shared" si="341"/>
        <v>803731</v>
      </c>
      <c r="AJ22" s="98">
        <f t="shared" si="342"/>
        <v>294852</v>
      </c>
      <c r="AK22" s="98">
        <f t="shared" si="343"/>
        <v>232433</v>
      </c>
      <c r="AL22" s="98">
        <f t="shared" si="344"/>
        <v>527285</v>
      </c>
      <c r="AM22" s="98">
        <f t="shared" si="345"/>
        <v>3516</v>
      </c>
      <c r="AN22" s="98">
        <f t="shared" si="346"/>
        <v>3129</v>
      </c>
      <c r="AO22" s="98">
        <f t="shared" si="347"/>
        <v>6645</v>
      </c>
      <c r="AP22" s="98">
        <f t="shared" si="348"/>
        <v>298368</v>
      </c>
      <c r="AQ22" s="98">
        <f t="shared" si="349"/>
        <v>235562</v>
      </c>
      <c r="AR22" s="98">
        <f t="shared" si="350"/>
        <v>533930</v>
      </c>
      <c r="AS22" s="116">
        <f t="shared" si="351"/>
        <v>0.62305119006352294</v>
      </c>
      <c r="AT22" s="116">
        <f t="shared" si="352"/>
        <v>0.72514306647088345</v>
      </c>
      <c r="AU22" s="116">
        <f t="shared" si="353"/>
        <v>0.66431430416395532</v>
      </c>
      <c r="AV22" s="99">
        <v>34439</v>
      </c>
      <c r="AW22" s="99">
        <v>25972</v>
      </c>
      <c r="AX22" s="99">
        <f t="shared" si="354"/>
        <v>60411</v>
      </c>
      <c r="AY22" s="99">
        <v>20133</v>
      </c>
      <c r="AZ22" s="99">
        <v>17126</v>
      </c>
      <c r="BA22" s="99">
        <f t="shared" si="355"/>
        <v>37259</v>
      </c>
      <c r="BB22" s="99">
        <v>307</v>
      </c>
      <c r="BC22" s="99">
        <v>371</v>
      </c>
      <c r="BD22" s="99">
        <f t="shared" si="356"/>
        <v>678</v>
      </c>
      <c r="BE22" s="99">
        <f t="shared" si="357"/>
        <v>20440</v>
      </c>
      <c r="BF22" s="99">
        <f t="shared" si="358"/>
        <v>17497</v>
      </c>
      <c r="BG22" s="99">
        <f t="shared" si="359"/>
        <v>37937</v>
      </c>
      <c r="BH22" s="116">
        <f t="shared" si="360"/>
        <v>0.59351316821045907</v>
      </c>
      <c r="BI22" s="116">
        <f t="shared" si="361"/>
        <v>0.67368704758971198</v>
      </c>
      <c r="BJ22" s="116">
        <f t="shared" si="362"/>
        <v>0.62798165896939295</v>
      </c>
      <c r="BK22" s="95">
        <v>2559</v>
      </c>
      <c r="BL22" s="95">
        <v>1256</v>
      </c>
      <c r="BM22" s="98">
        <f t="shared" si="363"/>
        <v>3815</v>
      </c>
      <c r="BN22" s="99">
        <v>76</v>
      </c>
      <c r="BO22" s="99">
        <v>86</v>
      </c>
      <c r="BP22" s="99">
        <f t="shared" si="364"/>
        <v>162</v>
      </c>
      <c r="BQ22" s="99">
        <v>20</v>
      </c>
      <c r="BR22" s="99">
        <v>24</v>
      </c>
      <c r="BS22" s="99">
        <f t="shared" si="365"/>
        <v>44</v>
      </c>
      <c r="BT22" s="99">
        <f t="shared" si="366"/>
        <v>96</v>
      </c>
      <c r="BU22" s="99">
        <f t="shared" si="367"/>
        <v>110</v>
      </c>
      <c r="BV22" s="99">
        <f t="shared" si="368"/>
        <v>206</v>
      </c>
      <c r="BW22" s="116">
        <f t="shared" si="369"/>
        <v>3.7514654161781943E-2</v>
      </c>
      <c r="BX22" s="116">
        <f t="shared" si="370"/>
        <v>8.7579617834394899E-2</v>
      </c>
      <c r="BY22" s="116">
        <f t="shared" si="371"/>
        <v>5.3997378768020972E-2</v>
      </c>
      <c r="BZ22" s="98">
        <f t="shared" si="323"/>
        <v>36998</v>
      </c>
      <c r="CA22" s="98">
        <f t="shared" si="323"/>
        <v>27228</v>
      </c>
      <c r="CB22" s="98">
        <f t="shared" si="323"/>
        <v>64226</v>
      </c>
      <c r="CC22" s="98">
        <f t="shared" si="372"/>
        <v>20209</v>
      </c>
      <c r="CD22" s="98">
        <f t="shared" si="373"/>
        <v>17212</v>
      </c>
      <c r="CE22" s="98">
        <f t="shared" si="374"/>
        <v>37421</v>
      </c>
      <c r="CF22" s="98">
        <f t="shared" si="375"/>
        <v>327</v>
      </c>
      <c r="CG22" s="98">
        <f t="shared" si="376"/>
        <v>395</v>
      </c>
      <c r="CH22" s="98">
        <f t="shared" si="377"/>
        <v>722</v>
      </c>
      <c r="CI22" s="98">
        <f>BE22+BT22</f>
        <v>20536</v>
      </c>
      <c r="CJ22" s="98">
        <f>BF22+BU22</f>
        <v>17607</v>
      </c>
      <c r="CK22" s="98">
        <f>BG22+BV22</f>
        <v>38143</v>
      </c>
      <c r="CL22" s="116">
        <f t="shared" si="381"/>
        <v>0.55505703010973562</v>
      </c>
      <c r="CM22" s="116">
        <f t="shared" si="382"/>
        <v>0.64665050683120318</v>
      </c>
      <c r="CN22" s="116">
        <f t="shared" si="383"/>
        <v>0.59388721078690876</v>
      </c>
      <c r="CO22" s="99">
        <v>59051</v>
      </c>
      <c r="CP22" s="99">
        <v>52052</v>
      </c>
      <c r="CQ22" s="99">
        <f t="shared" si="384"/>
        <v>111103</v>
      </c>
      <c r="CR22" s="99">
        <v>34227</v>
      </c>
      <c r="CS22" s="99">
        <v>34130</v>
      </c>
      <c r="CT22" s="99">
        <f t="shared" si="385"/>
        <v>68357</v>
      </c>
      <c r="CU22" s="99">
        <v>340</v>
      </c>
      <c r="CV22" s="99">
        <v>461</v>
      </c>
      <c r="CW22" s="99">
        <f t="shared" si="386"/>
        <v>801</v>
      </c>
      <c r="CX22" s="99">
        <f t="shared" si="387"/>
        <v>34567</v>
      </c>
      <c r="CY22" s="99">
        <f>+CS22+CV22</f>
        <v>34591</v>
      </c>
      <c r="CZ22" s="99">
        <f t="shared" si="388"/>
        <v>69158</v>
      </c>
      <c r="DA22" s="116">
        <f t="shared" si="389"/>
        <v>0.58537535350798464</v>
      </c>
      <c r="DB22" s="116">
        <f t="shared" si="390"/>
        <v>0.66454699147006835</v>
      </c>
      <c r="DC22" s="116">
        <f t="shared" si="391"/>
        <v>0.62246744012312893</v>
      </c>
      <c r="DD22" s="95">
        <v>2308</v>
      </c>
      <c r="DE22" s="95">
        <v>857</v>
      </c>
      <c r="DF22" s="98">
        <f t="shared" si="392"/>
        <v>3165</v>
      </c>
      <c r="DG22" s="99">
        <v>189</v>
      </c>
      <c r="DH22" s="99">
        <v>88</v>
      </c>
      <c r="DI22" s="99">
        <f t="shared" si="393"/>
        <v>277</v>
      </c>
      <c r="DJ22" s="99">
        <v>11</v>
      </c>
      <c r="DK22" s="99">
        <v>9</v>
      </c>
      <c r="DL22" s="99">
        <f t="shared" si="394"/>
        <v>20</v>
      </c>
      <c r="DM22" s="99">
        <f t="shared" si="395"/>
        <v>200</v>
      </c>
      <c r="DN22" s="99">
        <f t="shared" si="396"/>
        <v>97</v>
      </c>
      <c r="DO22" s="99">
        <f t="shared" si="397"/>
        <v>297</v>
      </c>
      <c r="DP22" s="116">
        <f t="shared" si="398"/>
        <v>8.6655112651646451E-2</v>
      </c>
      <c r="DQ22" s="116">
        <f t="shared" si="399"/>
        <v>0.11318553092182031</v>
      </c>
      <c r="DR22" s="116">
        <f t="shared" si="400"/>
        <v>9.3838862559241704E-2</v>
      </c>
      <c r="DS22" s="98">
        <f t="shared" si="401"/>
        <v>61359</v>
      </c>
      <c r="DT22" s="98">
        <f t="shared" si="402"/>
        <v>52909</v>
      </c>
      <c r="DU22" s="98">
        <f t="shared" si="403"/>
        <v>114268</v>
      </c>
      <c r="DV22" s="98">
        <f t="shared" si="404"/>
        <v>34416</v>
      </c>
      <c r="DW22" s="98">
        <f t="shared" si="405"/>
        <v>34218</v>
      </c>
      <c r="DX22" s="98">
        <f t="shared" si="406"/>
        <v>68634</v>
      </c>
      <c r="DY22" s="98">
        <f t="shared" si="407"/>
        <v>351</v>
      </c>
      <c r="DZ22" s="98">
        <f t="shared" si="408"/>
        <v>470</v>
      </c>
      <c r="EA22" s="98">
        <f t="shared" si="409"/>
        <v>821</v>
      </c>
      <c r="EB22" s="98">
        <f t="shared" si="410"/>
        <v>34767</v>
      </c>
      <c r="EC22" s="98">
        <f t="shared" si="411"/>
        <v>34688</v>
      </c>
      <c r="ED22" s="98">
        <f t="shared" si="412"/>
        <v>69455</v>
      </c>
      <c r="EE22" s="116">
        <f t="shared" si="413"/>
        <v>0.56661614433090501</v>
      </c>
      <c r="EF22" s="116">
        <f t="shared" si="414"/>
        <v>0.65561624676331054</v>
      </c>
      <c r="EG22" s="116">
        <f t="shared" si="415"/>
        <v>0.60782546294675677</v>
      </c>
      <c r="EH22" s="98">
        <f t="shared" si="416"/>
        <v>298368</v>
      </c>
      <c r="EI22" s="98">
        <f t="shared" si="417"/>
        <v>235562</v>
      </c>
      <c r="EJ22" s="98">
        <f t="shared" si="418"/>
        <v>533930</v>
      </c>
      <c r="EK22" s="101">
        <v>110160</v>
      </c>
      <c r="EL22" s="101">
        <v>95951</v>
      </c>
      <c r="EM22" s="98">
        <f t="shared" si="419"/>
        <v>206111</v>
      </c>
      <c r="EN22" s="100">
        <f t="shared" ref="EN22" si="440">+EK22*100/EH22</f>
        <v>36.920849420849422</v>
      </c>
      <c r="EO22" s="100">
        <f t="shared" ref="EO22" si="441">+EL22*100/EI22</f>
        <v>40.732800706395771</v>
      </c>
      <c r="EP22" s="100">
        <f t="shared" ref="EP22" si="442">+EM22*100/EJ22</f>
        <v>38.602625812372409</v>
      </c>
      <c r="EQ22" s="98">
        <f t="shared" si="423"/>
        <v>20536</v>
      </c>
      <c r="ER22" s="98">
        <f t="shared" si="424"/>
        <v>17607</v>
      </c>
      <c r="ES22" s="98">
        <f t="shared" si="425"/>
        <v>38143</v>
      </c>
      <c r="ET22" s="101">
        <v>6301</v>
      </c>
      <c r="EU22" s="101">
        <v>5821</v>
      </c>
      <c r="EV22" s="98">
        <f t="shared" si="426"/>
        <v>12122</v>
      </c>
      <c r="EW22" s="100">
        <f t="shared" si="427"/>
        <v>30.682703544994158</v>
      </c>
      <c r="EX22" s="100">
        <f t="shared" si="428"/>
        <v>33.060714488555689</v>
      </c>
      <c r="EY22" s="100">
        <f t="shared" si="429"/>
        <v>31.78040531683402</v>
      </c>
      <c r="EZ22" s="98">
        <f t="shared" si="430"/>
        <v>34767</v>
      </c>
      <c r="FA22" s="98">
        <f t="shared" si="431"/>
        <v>34688</v>
      </c>
      <c r="FB22" s="98">
        <f t="shared" si="432"/>
        <v>69455</v>
      </c>
      <c r="FC22" s="101">
        <v>7342</v>
      </c>
      <c r="FD22" s="101">
        <v>8510</v>
      </c>
      <c r="FE22" s="98">
        <f t="shared" si="433"/>
        <v>15852</v>
      </c>
      <c r="FF22" s="100">
        <f t="shared" si="434"/>
        <v>21.117726579802685</v>
      </c>
      <c r="FG22" s="100">
        <f t="shared" si="435"/>
        <v>24.532979704797047</v>
      </c>
      <c r="FH22" s="100">
        <f t="shared" si="436"/>
        <v>22.823410841552086</v>
      </c>
    </row>
    <row r="23" spans="1:164" ht="27" customHeight="1" x14ac:dyDescent="0.25">
      <c r="A23" s="94">
        <v>14</v>
      </c>
      <c r="B23" s="118" t="s">
        <v>140</v>
      </c>
      <c r="C23" s="96">
        <v>175393</v>
      </c>
      <c r="D23" s="96">
        <v>143769</v>
      </c>
      <c r="E23" s="96">
        <f t="shared" si="182"/>
        <v>319162</v>
      </c>
      <c r="F23" s="96">
        <v>81368</v>
      </c>
      <c r="G23" s="96">
        <v>79615</v>
      </c>
      <c r="H23" s="96">
        <f t="shared" si="183"/>
        <v>160983</v>
      </c>
      <c r="I23" s="96">
        <v>3155</v>
      </c>
      <c r="J23" s="96">
        <v>2348</v>
      </c>
      <c r="K23" s="96">
        <f t="shared" ref="K23:K40" si="443">I23+J23</f>
        <v>5503</v>
      </c>
      <c r="L23" s="97">
        <f t="shared" ref="L23" si="444">F23+I23</f>
        <v>84523</v>
      </c>
      <c r="M23" s="98">
        <f t="shared" ref="M23" si="445">G23+J23</f>
        <v>81963</v>
      </c>
      <c r="N23" s="98">
        <f t="shared" ref="N23" si="446">H23+K23</f>
        <v>166486</v>
      </c>
      <c r="O23" s="116">
        <f t="shared" si="187"/>
        <v>0.48190634745970479</v>
      </c>
      <c r="P23" s="116">
        <f t="shared" si="188"/>
        <v>0.57010203868706044</v>
      </c>
      <c r="Q23" s="116">
        <f t="shared" si="189"/>
        <v>0.52163478108296102</v>
      </c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12"/>
      <c r="AE23" s="112"/>
      <c r="AF23" s="112"/>
      <c r="AG23" s="98">
        <f t="shared" si="190"/>
        <v>175393</v>
      </c>
      <c r="AH23" s="98">
        <f t="shared" si="191"/>
        <v>143769</v>
      </c>
      <c r="AI23" s="98">
        <f t="shared" si="192"/>
        <v>319162</v>
      </c>
      <c r="AJ23" s="98">
        <f t="shared" si="193"/>
        <v>81368</v>
      </c>
      <c r="AK23" s="98">
        <f t="shared" si="194"/>
        <v>79615</v>
      </c>
      <c r="AL23" s="98">
        <f t="shared" si="192"/>
        <v>160983</v>
      </c>
      <c r="AM23" s="98">
        <f t="shared" ref="AM23:AM40" si="447">I23+X23</f>
        <v>3155</v>
      </c>
      <c r="AN23" s="98">
        <f t="shared" si="265"/>
        <v>2348</v>
      </c>
      <c r="AO23" s="98">
        <f t="shared" si="192"/>
        <v>5503</v>
      </c>
      <c r="AP23" s="98">
        <f t="shared" si="195"/>
        <v>84523</v>
      </c>
      <c r="AQ23" s="98">
        <f t="shared" si="196"/>
        <v>81963</v>
      </c>
      <c r="AR23" s="98">
        <f t="shared" si="192"/>
        <v>166486</v>
      </c>
      <c r="AS23" s="116">
        <f t="shared" si="197"/>
        <v>0.48190634745970479</v>
      </c>
      <c r="AT23" s="116">
        <f t="shared" si="198"/>
        <v>0.57010203868706044</v>
      </c>
      <c r="AU23" s="116">
        <f t="shared" si="199"/>
        <v>0.52163478108296102</v>
      </c>
      <c r="AV23" s="99">
        <v>44283</v>
      </c>
      <c r="AW23" s="99">
        <v>41715</v>
      </c>
      <c r="AX23" s="99">
        <f t="shared" si="200"/>
        <v>85998</v>
      </c>
      <c r="AY23" s="99">
        <v>16456</v>
      </c>
      <c r="AZ23" s="99">
        <v>16895</v>
      </c>
      <c r="BA23" s="99">
        <f t="shared" si="201"/>
        <v>33351</v>
      </c>
      <c r="BB23" s="99">
        <v>743</v>
      </c>
      <c r="BC23" s="99">
        <v>673</v>
      </c>
      <c r="BD23" s="99">
        <f t="shared" ref="BD23:BD40" si="448">+BB23+BC23</f>
        <v>1416</v>
      </c>
      <c r="BE23" s="99">
        <f t="shared" si="202"/>
        <v>17199</v>
      </c>
      <c r="BF23" s="99">
        <f t="shared" si="203"/>
        <v>17568</v>
      </c>
      <c r="BG23" s="99">
        <f t="shared" si="204"/>
        <v>34767</v>
      </c>
      <c r="BH23" s="116">
        <f t="shared" si="205"/>
        <v>0.3883883205744868</v>
      </c>
      <c r="BI23" s="116">
        <f t="shared" si="206"/>
        <v>0.42114347357065801</v>
      </c>
      <c r="BJ23" s="116">
        <f t="shared" si="207"/>
        <v>0.4042768436475267</v>
      </c>
      <c r="BK23" s="113"/>
      <c r="BL23" s="113"/>
      <c r="BM23" s="103"/>
      <c r="BN23" s="104"/>
      <c r="BO23" s="104"/>
      <c r="BP23" s="104"/>
      <c r="BQ23" s="104"/>
      <c r="BR23" s="104"/>
      <c r="BS23" s="104"/>
      <c r="BT23" s="104"/>
      <c r="BU23" s="104"/>
      <c r="BV23" s="104"/>
      <c r="BW23" s="112"/>
      <c r="BX23" s="112"/>
      <c r="BY23" s="112"/>
      <c r="BZ23" s="98">
        <f t="shared" si="208"/>
        <v>44283</v>
      </c>
      <c r="CA23" s="98">
        <f t="shared" si="209"/>
        <v>41715</v>
      </c>
      <c r="CB23" s="98">
        <f t="shared" si="210"/>
        <v>85998</v>
      </c>
      <c r="CC23" s="98">
        <f t="shared" si="211"/>
        <v>16456</v>
      </c>
      <c r="CD23" s="98">
        <f t="shared" si="212"/>
        <v>16895</v>
      </c>
      <c r="CE23" s="98">
        <f t="shared" si="213"/>
        <v>33351</v>
      </c>
      <c r="CF23" s="98">
        <f t="shared" ref="CF23:CF40" si="449">BB23+BQ23</f>
        <v>743</v>
      </c>
      <c r="CG23" s="98">
        <f t="shared" ref="CG23:CG40" si="450">BC23+BR23</f>
        <v>673</v>
      </c>
      <c r="CH23" s="98">
        <f t="shared" ref="CH23:CH40" si="451">BD23+BS23</f>
        <v>1416</v>
      </c>
      <c r="CI23" s="98">
        <f>BE23+BT23</f>
        <v>17199</v>
      </c>
      <c r="CJ23" s="98">
        <f t="shared" ref="CJ23:CJ38" si="452">BF23+BU23</f>
        <v>17568</v>
      </c>
      <c r="CK23" s="98">
        <f t="shared" ref="CK23:CK38" si="453">BG23+BV23</f>
        <v>34767</v>
      </c>
      <c r="CL23" s="116">
        <f t="shared" ref="CL23:CL43" si="454">CI23/BZ23</f>
        <v>0.3883883205744868</v>
      </c>
      <c r="CM23" s="116">
        <f t="shared" si="218"/>
        <v>0.42114347357065801</v>
      </c>
      <c r="CN23" s="116">
        <f t="shared" si="219"/>
        <v>0.4042768436475267</v>
      </c>
      <c r="CO23" s="99">
        <v>60</v>
      </c>
      <c r="CP23" s="99">
        <v>41</v>
      </c>
      <c r="CQ23" s="99">
        <f t="shared" si="220"/>
        <v>101</v>
      </c>
      <c r="CR23" s="99">
        <v>30</v>
      </c>
      <c r="CS23" s="99">
        <v>29</v>
      </c>
      <c r="CT23" s="99">
        <f t="shared" si="221"/>
        <v>59</v>
      </c>
      <c r="CU23" s="99">
        <v>0</v>
      </c>
      <c r="CV23" s="99">
        <v>1</v>
      </c>
      <c r="CW23" s="99">
        <f t="shared" ref="CW23:CW40" si="455">+CU23+CV23</f>
        <v>1</v>
      </c>
      <c r="CX23" s="99">
        <f t="shared" si="222"/>
        <v>30</v>
      </c>
      <c r="CY23" s="99">
        <f t="shared" si="223"/>
        <v>30</v>
      </c>
      <c r="CZ23" s="99">
        <f t="shared" si="224"/>
        <v>60</v>
      </c>
      <c r="DA23" s="116">
        <f t="shared" si="273"/>
        <v>0.5</v>
      </c>
      <c r="DB23" s="116">
        <f t="shared" si="225"/>
        <v>0.73170731707317072</v>
      </c>
      <c r="DC23" s="116">
        <f t="shared" si="226"/>
        <v>0.59405940594059403</v>
      </c>
      <c r="DD23" s="111"/>
      <c r="DE23" s="111"/>
      <c r="DF23" s="103"/>
      <c r="DG23" s="104"/>
      <c r="DH23" s="104"/>
      <c r="DI23" s="104"/>
      <c r="DJ23" s="104"/>
      <c r="DK23" s="104"/>
      <c r="DL23" s="104"/>
      <c r="DM23" s="104"/>
      <c r="DN23" s="104"/>
      <c r="DO23" s="104"/>
      <c r="DP23" s="112"/>
      <c r="DQ23" s="112"/>
      <c r="DR23" s="112"/>
      <c r="DS23" s="98">
        <f t="shared" si="227"/>
        <v>60</v>
      </c>
      <c r="DT23" s="98">
        <f t="shared" si="228"/>
        <v>41</v>
      </c>
      <c r="DU23" s="98">
        <f t="shared" si="229"/>
        <v>101</v>
      </c>
      <c r="DV23" s="98">
        <f t="shared" si="230"/>
        <v>30</v>
      </c>
      <c r="DW23" s="98">
        <f t="shared" si="231"/>
        <v>29</v>
      </c>
      <c r="DX23" s="98">
        <f t="shared" si="232"/>
        <v>59</v>
      </c>
      <c r="DY23" s="98">
        <f t="shared" ref="DY23:DY40" si="456">CU23+DJ23</f>
        <v>0</v>
      </c>
      <c r="DZ23" s="98">
        <f t="shared" ref="DZ23:DZ40" si="457">CV23+DK23</f>
        <v>1</v>
      </c>
      <c r="EA23" s="98">
        <f t="shared" ref="EA23:EA40" si="458">CW23+DL23</f>
        <v>1</v>
      </c>
      <c r="EB23" s="98">
        <f t="shared" si="233"/>
        <v>30</v>
      </c>
      <c r="EC23" s="98">
        <f t="shared" si="234"/>
        <v>30</v>
      </c>
      <c r="ED23" s="98">
        <f t="shared" si="235"/>
        <v>60</v>
      </c>
      <c r="EE23" s="116">
        <f t="shared" ref="EE23:EE43" si="459">EB23/DS23</f>
        <v>0.5</v>
      </c>
      <c r="EF23" s="116">
        <f t="shared" si="236"/>
        <v>0.73170731707317072</v>
      </c>
      <c r="EG23" s="116">
        <f t="shared" si="237"/>
        <v>0.59405940594059403</v>
      </c>
      <c r="EH23" s="98">
        <f t="shared" si="238"/>
        <v>84523</v>
      </c>
      <c r="EI23" s="98">
        <f t="shared" si="239"/>
        <v>81963</v>
      </c>
      <c r="EJ23" s="98">
        <f t="shared" si="240"/>
        <v>166486</v>
      </c>
      <c r="EK23" s="101">
        <v>61969</v>
      </c>
      <c r="EL23" s="101">
        <v>65106</v>
      </c>
      <c r="EM23" s="98">
        <f t="shared" si="241"/>
        <v>127075</v>
      </c>
      <c r="EN23" s="100">
        <f t="shared" si="242"/>
        <v>73.316138802456138</v>
      </c>
      <c r="EO23" s="100">
        <f t="shared" si="243"/>
        <v>79.433402876907877</v>
      </c>
      <c r="EP23" s="100">
        <f t="shared" si="244"/>
        <v>76.327739269367996</v>
      </c>
      <c r="EQ23" s="98">
        <f t="shared" si="245"/>
        <v>17199</v>
      </c>
      <c r="ER23" s="98">
        <f t="shared" si="246"/>
        <v>17568</v>
      </c>
      <c r="ES23" s="98">
        <f t="shared" si="247"/>
        <v>34767</v>
      </c>
      <c r="ET23" s="101">
        <v>10210</v>
      </c>
      <c r="EU23" s="101">
        <v>11276</v>
      </c>
      <c r="EV23" s="98">
        <f t="shared" si="248"/>
        <v>21486</v>
      </c>
      <c r="EW23" s="100">
        <f t="shared" si="249"/>
        <v>59.363916506773649</v>
      </c>
      <c r="EX23" s="100">
        <f t="shared" si="250"/>
        <v>64.184881602914388</v>
      </c>
      <c r="EY23" s="100">
        <f t="shared" si="251"/>
        <v>61.799982742255587</v>
      </c>
      <c r="EZ23" s="98">
        <f t="shared" si="252"/>
        <v>30</v>
      </c>
      <c r="FA23" s="98">
        <f t="shared" si="253"/>
        <v>30</v>
      </c>
      <c r="FB23" s="98">
        <f t="shared" si="254"/>
        <v>60</v>
      </c>
      <c r="FC23" s="101">
        <v>26</v>
      </c>
      <c r="FD23" s="101">
        <v>25</v>
      </c>
      <c r="FE23" s="98">
        <f t="shared" si="255"/>
        <v>51</v>
      </c>
      <c r="FF23" s="100">
        <f t="shared" si="283"/>
        <v>86.666666666666671</v>
      </c>
      <c r="FG23" s="100">
        <f t="shared" si="256"/>
        <v>83.333333333333329</v>
      </c>
      <c r="FH23" s="100">
        <f t="shared" si="257"/>
        <v>85</v>
      </c>
    </row>
    <row r="24" spans="1:164" ht="27" customHeight="1" x14ac:dyDescent="0.25">
      <c r="A24" s="94">
        <v>15</v>
      </c>
      <c r="B24" s="118" t="s">
        <v>150</v>
      </c>
      <c r="C24" s="96">
        <v>59965</v>
      </c>
      <c r="D24" s="96">
        <v>53601</v>
      </c>
      <c r="E24" s="96">
        <f t="shared" si="182"/>
        <v>113566</v>
      </c>
      <c r="F24" s="96">
        <v>39336</v>
      </c>
      <c r="G24" s="96">
        <v>37797</v>
      </c>
      <c r="H24" s="96">
        <f t="shared" si="183"/>
        <v>77133</v>
      </c>
      <c r="I24" s="96">
        <v>6860</v>
      </c>
      <c r="J24" s="96">
        <v>5831</v>
      </c>
      <c r="K24" s="96">
        <f t="shared" si="443"/>
        <v>12691</v>
      </c>
      <c r="L24" s="97">
        <f t="shared" ref="L24:L43" si="460">F24+I24</f>
        <v>46196</v>
      </c>
      <c r="M24" s="98">
        <f t="shared" ref="M24:M43" si="461">G24+J24</f>
        <v>43628</v>
      </c>
      <c r="N24" s="98">
        <f t="shared" ref="N24:N43" si="462">H24+K24</f>
        <v>89824</v>
      </c>
      <c r="O24" s="116">
        <f t="shared" si="187"/>
        <v>0.77038272325523227</v>
      </c>
      <c r="P24" s="116">
        <f t="shared" si="188"/>
        <v>0.81394003843211882</v>
      </c>
      <c r="Q24" s="116">
        <f t="shared" si="189"/>
        <v>0.79094095063663417</v>
      </c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12"/>
      <c r="AE24" s="112"/>
      <c r="AF24" s="112"/>
      <c r="AG24" s="98">
        <f t="shared" si="190"/>
        <v>59965</v>
      </c>
      <c r="AH24" s="98">
        <f t="shared" si="191"/>
        <v>53601</v>
      </c>
      <c r="AI24" s="98">
        <f t="shared" si="191"/>
        <v>113566</v>
      </c>
      <c r="AJ24" s="98">
        <f t="shared" si="193"/>
        <v>39336</v>
      </c>
      <c r="AK24" s="98">
        <f t="shared" si="194"/>
        <v>37797</v>
      </c>
      <c r="AL24" s="98">
        <f t="shared" si="194"/>
        <v>77133</v>
      </c>
      <c r="AM24" s="98">
        <f t="shared" si="447"/>
        <v>6860</v>
      </c>
      <c r="AN24" s="98">
        <f t="shared" si="265"/>
        <v>5831</v>
      </c>
      <c r="AO24" s="98">
        <f t="shared" si="265"/>
        <v>12691</v>
      </c>
      <c r="AP24" s="98">
        <f t="shared" si="195"/>
        <v>46196</v>
      </c>
      <c r="AQ24" s="98">
        <f t="shared" si="196"/>
        <v>43628</v>
      </c>
      <c r="AR24" s="98">
        <f t="shared" si="196"/>
        <v>89824</v>
      </c>
      <c r="AS24" s="116">
        <f t="shared" si="197"/>
        <v>0.77038272325523227</v>
      </c>
      <c r="AT24" s="116">
        <f t="shared" si="198"/>
        <v>0.81394003843211882</v>
      </c>
      <c r="AU24" s="116">
        <f t="shared" si="199"/>
        <v>0.79094095063663417</v>
      </c>
      <c r="AV24" s="99">
        <v>17399</v>
      </c>
      <c r="AW24" s="99">
        <v>16332</v>
      </c>
      <c r="AX24" s="99">
        <f t="shared" si="200"/>
        <v>33731</v>
      </c>
      <c r="AY24" s="99">
        <v>10420</v>
      </c>
      <c r="AZ24" s="99">
        <v>10612</v>
      </c>
      <c r="BA24" s="99">
        <f t="shared" si="201"/>
        <v>21032</v>
      </c>
      <c r="BB24" s="99">
        <v>2175</v>
      </c>
      <c r="BC24" s="99">
        <v>2019</v>
      </c>
      <c r="BD24" s="99">
        <f t="shared" si="448"/>
        <v>4194</v>
      </c>
      <c r="BE24" s="99">
        <f t="shared" si="202"/>
        <v>12595</v>
      </c>
      <c r="BF24" s="99">
        <f t="shared" si="203"/>
        <v>12631</v>
      </c>
      <c r="BG24" s="99">
        <f t="shared" si="203"/>
        <v>25226</v>
      </c>
      <c r="BH24" s="116">
        <f t="shared" si="205"/>
        <v>0.72389217771136272</v>
      </c>
      <c r="BI24" s="116">
        <f t="shared" si="206"/>
        <v>0.77338966446240509</v>
      </c>
      <c r="BJ24" s="116">
        <f t="shared" si="207"/>
        <v>0.74785805342266753</v>
      </c>
      <c r="BK24" s="111"/>
      <c r="BL24" s="111"/>
      <c r="BM24" s="103"/>
      <c r="BN24" s="104"/>
      <c r="BO24" s="104"/>
      <c r="BP24" s="104"/>
      <c r="BQ24" s="104"/>
      <c r="BR24" s="104"/>
      <c r="BS24" s="104"/>
      <c r="BT24" s="104"/>
      <c r="BU24" s="104"/>
      <c r="BV24" s="104"/>
      <c r="BW24" s="112"/>
      <c r="BX24" s="112"/>
      <c r="BY24" s="112"/>
      <c r="BZ24" s="98">
        <f t="shared" ref="BZ24:BZ36" si="463">AV24+BK24</f>
        <v>17399</v>
      </c>
      <c r="CA24" s="98">
        <f t="shared" ref="CA24:CA36" si="464">AW24+BL24</f>
        <v>16332</v>
      </c>
      <c r="CB24" s="98">
        <f t="shared" ref="CB24:CB36" si="465">AX24+BM24</f>
        <v>33731</v>
      </c>
      <c r="CC24" s="98">
        <f t="shared" si="211"/>
        <v>10420</v>
      </c>
      <c r="CD24" s="98">
        <f t="shared" si="212"/>
        <v>10612</v>
      </c>
      <c r="CE24" s="98">
        <f t="shared" si="213"/>
        <v>21032</v>
      </c>
      <c r="CF24" s="98">
        <f t="shared" si="449"/>
        <v>2175</v>
      </c>
      <c r="CG24" s="98">
        <f t="shared" si="450"/>
        <v>2019</v>
      </c>
      <c r="CH24" s="98">
        <f t="shared" si="451"/>
        <v>4194</v>
      </c>
      <c r="CI24" s="98">
        <f t="shared" ref="CI24:CI30" si="466">BE24+BT24</f>
        <v>12595</v>
      </c>
      <c r="CJ24" s="98">
        <f t="shared" ref="CJ24:CJ30" si="467">BF24+BU24</f>
        <v>12631</v>
      </c>
      <c r="CK24" s="98">
        <f t="shared" ref="CK24:CK30" si="468">BG24+BV24</f>
        <v>25226</v>
      </c>
      <c r="CL24" s="116">
        <f t="shared" si="454"/>
        <v>0.72389217771136272</v>
      </c>
      <c r="CM24" s="116">
        <f t="shared" si="218"/>
        <v>0.77338966446240509</v>
      </c>
      <c r="CN24" s="116">
        <f t="shared" si="219"/>
        <v>0.74785805342266753</v>
      </c>
      <c r="CO24" s="99">
        <v>3721</v>
      </c>
      <c r="CP24" s="99">
        <v>3392</v>
      </c>
      <c r="CQ24" s="99">
        <f t="shared" si="220"/>
        <v>7113</v>
      </c>
      <c r="CR24" s="99">
        <v>2415</v>
      </c>
      <c r="CS24" s="99">
        <v>2356</v>
      </c>
      <c r="CT24" s="99">
        <f t="shared" si="221"/>
        <v>4771</v>
      </c>
      <c r="CU24" s="99">
        <v>395</v>
      </c>
      <c r="CV24" s="99">
        <v>371</v>
      </c>
      <c r="CW24" s="99">
        <f t="shared" si="455"/>
        <v>766</v>
      </c>
      <c r="CX24" s="99">
        <f t="shared" si="222"/>
        <v>2810</v>
      </c>
      <c r="CY24" s="99">
        <f t="shared" ref="CY24" si="469">+CS24+CV24</f>
        <v>2727</v>
      </c>
      <c r="CZ24" s="99">
        <f t="shared" si="223"/>
        <v>5537</v>
      </c>
      <c r="DA24" s="116">
        <f t="shared" si="273"/>
        <v>0.75517334049986562</v>
      </c>
      <c r="DB24" s="116">
        <f t="shared" si="225"/>
        <v>0.80395047169811318</v>
      </c>
      <c r="DC24" s="116">
        <f t="shared" si="226"/>
        <v>0.77843385350766203</v>
      </c>
      <c r="DD24" s="111"/>
      <c r="DE24" s="111"/>
      <c r="DF24" s="103"/>
      <c r="DG24" s="104"/>
      <c r="DH24" s="104"/>
      <c r="DI24" s="104"/>
      <c r="DJ24" s="104"/>
      <c r="DK24" s="104"/>
      <c r="DL24" s="104"/>
      <c r="DM24" s="104"/>
      <c r="DN24" s="104"/>
      <c r="DO24" s="104"/>
      <c r="DP24" s="112"/>
      <c r="DQ24" s="112"/>
      <c r="DR24" s="112"/>
      <c r="DS24" s="98">
        <f t="shared" si="227"/>
        <v>3721</v>
      </c>
      <c r="DT24" s="98">
        <f t="shared" si="228"/>
        <v>3392</v>
      </c>
      <c r="DU24" s="98">
        <f t="shared" si="229"/>
        <v>7113</v>
      </c>
      <c r="DV24" s="98">
        <f t="shared" si="230"/>
        <v>2415</v>
      </c>
      <c r="DW24" s="98">
        <f t="shared" si="231"/>
        <v>2356</v>
      </c>
      <c r="DX24" s="98">
        <f t="shared" si="232"/>
        <v>4771</v>
      </c>
      <c r="DY24" s="98">
        <f t="shared" si="456"/>
        <v>395</v>
      </c>
      <c r="DZ24" s="98">
        <f t="shared" si="457"/>
        <v>371</v>
      </c>
      <c r="EA24" s="98">
        <f t="shared" si="458"/>
        <v>766</v>
      </c>
      <c r="EB24" s="98">
        <f t="shared" si="233"/>
        <v>2810</v>
      </c>
      <c r="EC24" s="98">
        <f t="shared" si="234"/>
        <v>2727</v>
      </c>
      <c r="ED24" s="98">
        <f t="shared" si="235"/>
        <v>5537</v>
      </c>
      <c r="EE24" s="116">
        <f t="shared" si="459"/>
        <v>0.75517334049986562</v>
      </c>
      <c r="EF24" s="116">
        <f t="shared" si="236"/>
        <v>0.80395047169811318</v>
      </c>
      <c r="EG24" s="116">
        <f t="shared" si="237"/>
        <v>0.77843385350766203</v>
      </c>
      <c r="EH24" s="98">
        <f t="shared" si="238"/>
        <v>46196</v>
      </c>
      <c r="EI24" s="98">
        <f t="shared" si="239"/>
        <v>43628</v>
      </c>
      <c r="EJ24" s="98">
        <f t="shared" si="239"/>
        <v>89824</v>
      </c>
      <c r="EK24" s="101">
        <v>29599</v>
      </c>
      <c r="EL24" s="101">
        <v>32689</v>
      </c>
      <c r="EM24" s="98">
        <f t="shared" si="241"/>
        <v>62288</v>
      </c>
      <c r="EN24" s="100">
        <f t="shared" ref="EN24:EN43" si="470">+EK24*100/EH24</f>
        <v>64.072646982422725</v>
      </c>
      <c r="EO24" s="100">
        <f t="shared" ref="EO24:EO43" si="471">+EL24*100/EI24</f>
        <v>74.926652608416617</v>
      </c>
      <c r="EP24" s="100">
        <f t="shared" ref="EP24:EP43" si="472">+EM24*100/EJ24</f>
        <v>69.3444959030994</v>
      </c>
      <c r="EQ24" s="98">
        <f t="shared" si="245"/>
        <v>12595</v>
      </c>
      <c r="ER24" s="98">
        <f t="shared" si="246"/>
        <v>12631</v>
      </c>
      <c r="ES24" s="98">
        <f t="shared" si="246"/>
        <v>25226</v>
      </c>
      <c r="ET24" s="101">
        <v>7116</v>
      </c>
      <c r="EU24" s="101">
        <v>8732</v>
      </c>
      <c r="EV24" s="98">
        <f t="shared" si="248"/>
        <v>15848</v>
      </c>
      <c r="EW24" s="100">
        <f t="shared" ref="EW24:EW43" si="473">+ET24*100/EQ24</f>
        <v>56.498610559745934</v>
      </c>
      <c r="EX24" s="100">
        <f t="shared" ref="EX24:EY43" si="474">+EU24*100/ER24</f>
        <v>69.131501860501942</v>
      </c>
      <c r="EY24" s="100">
        <f t="shared" si="474"/>
        <v>62.824070403551893</v>
      </c>
      <c r="EZ24" s="98">
        <f t="shared" si="252"/>
        <v>2810</v>
      </c>
      <c r="FA24" s="98">
        <f t="shared" si="253"/>
        <v>2727</v>
      </c>
      <c r="FB24" s="98">
        <f t="shared" si="253"/>
        <v>5537</v>
      </c>
      <c r="FC24" s="101">
        <v>1706</v>
      </c>
      <c r="FD24" s="101">
        <v>1908</v>
      </c>
      <c r="FE24" s="98">
        <f t="shared" si="255"/>
        <v>3614</v>
      </c>
      <c r="FF24" s="100">
        <f t="shared" ref="FF24:FF43" si="475">+FC24*100/EZ24</f>
        <v>60.711743772241995</v>
      </c>
      <c r="FG24" s="100">
        <f t="shared" ref="FG24:FG43" si="476">+FD24*100/FA24</f>
        <v>69.966996699669963</v>
      </c>
      <c r="FH24" s="100">
        <f t="shared" ref="FH24:FH43" si="477">+FE24*100/FB24</f>
        <v>65.270001806032141</v>
      </c>
    </row>
    <row r="25" spans="1:164" ht="27" customHeight="1" x14ac:dyDescent="0.25">
      <c r="A25" s="94">
        <v>16</v>
      </c>
      <c r="B25" s="118" t="s">
        <v>151</v>
      </c>
      <c r="C25" s="96">
        <v>75356</v>
      </c>
      <c r="D25" s="96">
        <v>66388</v>
      </c>
      <c r="E25" s="96">
        <f t="shared" si="182"/>
        <v>141744</v>
      </c>
      <c r="F25" s="96">
        <v>46549</v>
      </c>
      <c r="G25" s="96">
        <v>41265</v>
      </c>
      <c r="H25" s="96">
        <f t="shared" si="183"/>
        <v>87814</v>
      </c>
      <c r="I25" s="104"/>
      <c r="J25" s="104"/>
      <c r="K25" s="104"/>
      <c r="L25" s="97">
        <f t="shared" si="460"/>
        <v>46549</v>
      </c>
      <c r="M25" s="98">
        <f t="shared" si="461"/>
        <v>41265</v>
      </c>
      <c r="N25" s="98">
        <f t="shared" si="462"/>
        <v>87814</v>
      </c>
      <c r="O25" s="116">
        <f t="shared" si="187"/>
        <v>0.61772121662508628</v>
      </c>
      <c r="P25" s="116">
        <f t="shared" si="188"/>
        <v>0.62157317587515815</v>
      </c>
      <c r="Q25" s="116">
        <f t="shared" si="189"/>
        <v>0.61952534146066152</v>
      </c>
      <c r="R25" s="98">
        <v>81979</v>
      </c>
      <c r="S25" s="98">
        <v>55099</v>
      </c>
      <c r="T25" s="98">
        <f t="shared" ref="T25:T43" si="478">R25+S25</f>
        <v>137078</v>
      </c>
      <c r="U25" s="98">
        <v>37673</v>
      </c>
      <c r="V25" s="98">
        <v>28593</v>
      </c>
      <c r="W25" s="98">
        <f t="shared" si="258"/>
        <v>66266</v>
      </c>
      <c r="X25" s="103"/>
      <c r="Y25" s="103"/>
      <c r="Z25" s="103"/>
      <c r="AA25" s="98">
        <f t="shared" si="259"/>
        <v>37673</v>
      </c>
      <c r="AB25" s="98">
        <f t="shared" si="260"/>
        <v>28593</v>
      </c>
      <c r="AC25" s="98">
        <f t="shared" si="261"/>
        <v>66266</v>
      </c>
      <c r="AD25" s="116">
        <f t="shared" ref="AD25:AD30" si="479">AA25/R25</f>
        <v>0.45954451749838371</v>
      </c>
      <c r="AE25" s="116">
        <f t="shared" ref="AE25:AE30" si="480">AB25/S25</f>
        <v>0.51893863772482263</v>
      </c>
      <c r="AF25" s="116">
        <f t="shared" ref="AF25:AF43" si="481">AC25/T25</f>
        <v>0.48341819985701573</v>
      </c>
      <c r="AG25" s="98">
        <f t="shared" si="190"/>
        <v>157335</v>
      </c>
      <c r="AH25" s="98">
        <f t="shared" si="191"/>
        <v>121487</v>
      </c>
      <c r="AI25" s="98">
        <f t="shared" si="191"/>
        <v>278822</v>
      </c>
      <c r="AJ25" s="98">
        <f t="shared" si="193"/>
        <v>84222</v>
      </c>
      <c r="AK25" s="98">
        <f t="shared" si="194"/>
        <v>69858</v>
      </c>
      <c r="AL25" s="98">
        <f t="shared" si="194"/>
        <v>154080</v>
      </c>
      <c r="AM25" s="103"/>
      <c r="AN25" s="103"/>
      <c r="AO25" s="103"/>
      <c r="AP25" s="98">
        <f t="shared" si="195"/>
        <v>84222</v>
      </c>
      <c r="AQ25" s="98">
        <f t="shared" si="196"/>
        <v>69858</v>
      </c>
      <c r="AR25" s="98">
        <f t="shared" si="196"/>
        <v>154080</v>
      </c>
      <c r="AS25" s="116">
        <f t="shared" si="197"/>
        <v>0.53530365144437031</v>
      </c>
      <c r="AT25" s="116">
        <f t="shared" si="198"/>
        <v>0.57502448821684626</v>
      </c>
      <c r="AU25" s="116">
        <f t="shared" si="199"/>
        <v>0.55261062613423617</v>
      </c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12"/>
      <c r="BI25" s="112"/>
      <c r="BJ25" s="112"/>
      <c r="BK25" s="103"/>
      <c r="BL25" s="103"/>
      <c r="BM25" s="103"/>
      <c r="BN25" s="104"/>
      <c r="BO25" s="104"/>
      <c r="BP25" s="104"/>
      <c r="BQ25" s="104"/>
      <c r="BR25" s="104"/>
      <c r="BS25" s="104"/>
      <c r="BT25" s="104"/>
      <c r="BU25" s="104"/>
      <c r="BV25" s="104"/>
      <c r="BW25" s="112"/>
      <c r="BX25" s="112"/>
      <c r="BY25" s="112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12"/>
      <c r="CM25" s="112"/>
      <c r="CN25" s="112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12"/>
      <c r="DB25" s="112"/>
      <c r="DC25" s="112"/>
      <c r="DD25" s="103"/>
      <c r="DE25" s="103"/>
      <c r="DF25" s="103"/>
      <c r="DG25" s="104"/>
      <c r="DH25" s="104"/>
      <c r="DI25" s="104"/>
      <c r="DJ25" s="104"/>
      <c r="DK25" s="104"/>
      <c r="DL25" s="104"/>
      <c r="DM25" s="104"/>
      <c r="DN25" s="104"/>
      <c r="DO25" s="104"/>
      <c r="DP25" s="112"/>
      <c r="DQ25" s="112"/>
      <c r="DR25" s="112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12"/>
      <c r="EF25" s="112"/>
      <c r="EG25" s="112"/>
      <c r="EH25" s="98">
        <f t="shared" si="238"/>
        <v>84222</v>
      </c>
      <c r="EI25" s="98">
        <f t="shared" si="239"/>
        <v>69858</v>
      </c>
      <c r="EJ25" s="98">
        <f t="shared" si="239"/>
        <v>154080</v>
      </c>
      <c r="EK25" s="101">
        <v>21002</v>
      </c>
      <c r="EL25" s="101">
        <v>19957</v>
      </c>
      <c r="EM25" s="101">
        <f t="shared" si="241"/>
        <v>40959</v>
      </c>
      <c r="EN25" s="100">
        <f t="shared" si="470"/>
        <v>24.936477404953575</v>
      </c>
      <c r="EO25" s="100">
        <f t="shared" si="471"/>
        <v>28.56795213146669</v>
      </c>
      <c r="EP25" s="100">
        <f t="shared" si="472"/>
        <v>26.582943925233646</v>
      </c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</row>
    <row r="26" spans="1:164" ht="27" customHeight="1" x14ac:dyDescent="0.25">
      <c r="A26" s="94">
        <v>17</v>
      </c>
      <c r="B26" s="118" t="s">
        <v>152</v>
      </c>
      <c r="C26" s="96">
        <v>184745</v>
      </c>
      <c r="D26" s="96">
        <v>195038</v>
      </c>
      <c r="E26" s="96">
        <f t="shared" si="182"/>
        <v>379783</v>
      </c>
      <c r="F26" s="96">
        <v>137459</v>
      </c>
      <c r="G26" s="96">
        <v>135209</v>
      </c>
      <c r="H26" s="96">
        <f t="shared" si="183"/>
        <v>272668</v>
      </c>
      <c r="I26" s="104"/>
      <c r="J26" s="104"/>
      <c r="K26" s="104"/>
      <c r="L26" s="97">
        <f t="shared" si="460"/>
        <v>137459</v>
      </c>
      <c r="M26" s="98">
        <f t="shared" si="461"/>
        <v>135209</v>
      </c>
      <c r="N26" s="98">
        <f t="shared" si="462"/>
        <v>272668</v>
      </c>
      <c r="O26" s="116">
        <f t="shared" si="187"/>
        <v>0.74404720019486315</v>
      </c>
      <c r="P26" s="116">
        <f t="shared" si="188"/>
        <v>0.69324439340026045</v>
      </c>
      <c r="Q26" s="116">
        <f t="shared" si="189"/>
        <v>0.71795735986076259</v>
      </c>
      <c r="R26" s="98">
        <v>43767</v>
      </c>
      <c r="S26" s="98">
        <v>39220</v>
      </c>
      <c r="T26" s="98">
        <f t="shared" si="478"/>
        <v>82987</v>
      </c>
      <c r="U26" s="98">
        <v>23518</v>
      </c>
      <c r="V26" s="98">
        <v>18101</v>
      </c>
      <c r="W26" s="98">
        <f t="shared" si="258"/>
        <v>41619</v>
      </c>
      <c r="X26" s="103"/>
      <c r="Y26" s="103"/>
      <c r="Z26" s="103"/>
      <c r="AA26" s="98">
        <f t="shared" si="259"/>
        <v>23518</v>
      </c>
      <c r="AB26" s="98">
        <f t="shared" si="260"/>
        <v>18101</v>
      </c>
      <c r="AC26" s="98">
        <f t="shared" si="261"/>
        <v>41619</v>
      </c>
      <c r="AD26" s="116">
        <f t="shared" si="479"/>
        <v>0.53734548861014009</v>
      </c>
      <c r="AE26" s="116">
        <f t="shared" si="480"/>
        <v>0.46152473227944923</v>
      </c>
      <c r="AF26" s="116">
        <f t="shared" si="481"/>
        <v>0.50151228505669565</v>
      </c>
      <c r="AG26" s="98">
        <f t="shared" si="190"/>
        <v>228512</v>
      </c>
      <c r="AH26" s="98">
        <f t="shared" si="191"/>
        <v>234258</v>
      </c>
      <c r="AI26" s="98">
        <f t="shared" si="191"/>
        <v>462770</v>
      </c>
      <c r="AJ26" s="98">
        <f t="shared" si="193"/>
        <v>160977</v>
      </c>
      <c r="AK26" s="98">
        <f t="shared" si="194"/>
        <v>153310</v>
      </c>
      <c r="AL26" s="98">
        <f t="shared" si="194"/>
        <v>314287</v>
      </c>
      <c r="AM26" s="103"/>
      <c r="AN26" s="103"/>
      <c r="AO26" s="103"/>
      <c r="AP26" s="98">
        <f t="shared" si="195"/>
        <v>160977</v>
      </c>
      <c r="AQ26" s="98">
        <f t="shared" si="196"/>
        <v>153310</v>
      </c>
      <c r="AR26" s="98">
        <f t="shared" si="196"/>
        <v>314287</v>
      </c>
      <c r="AS26" s="116">
        <f t="shared" si="197"/>
        <v>0.70445753395882926</v>
      </c>
      <c r="AT26" s="116">
        <f t="shared" si="198"/>
        <v>0.65444936779106799</v>
      </c>
      <c r="AU26" s="116">
        <f t="shared" si="199"/>
        <v>0.679142986796897</v>
      </c>
      <c r="AV26" s="99">
        <v>22504</v>
      </c>
      <c r="AW26" s="99">
        <v>22404</v>
      </c>
      <c r="AX26" s="99">
        <f t="shared" si="200"/>
        <v>44908</v>
      </c>
      <c r="AY26" s="99">
        <v>15869</v>
      </c>
      <c r="AZ26" s="99">
        <v>13748</v>
      </c>
      <c r="BA26" s="99">
        <f t="shared" si="201"/>
        <v>29617</v>
      </c>
      <c r="BB26" s="104"/>
      <c r="BC26" s="104"/>
      <c r="BD26" s="104"/>
      <c r="BE26" s="99">
        <f t="shared" si="202"/>
        <v>15869</v>
      </c>
      <c r="BF26" s="99">
        <f t="shared" si="203"/>
        <v>13748</v>
      </c>
      <c r="BG26" s="99">
        <f t="shared" si="203"/>
        <v>29617</v>
      </c>
      <c r="BH26" s="116">
        <f t="shared" si="205"/>
        <v>0.70516352648418057</v>
      </c>
      <c r="BI26" s="116">
        <f t="shared" si="206"/>
        <v>0.61364042135332975</v>
      </c>
      <c r="BJ26" s="116">
        <f t="shared" si="207"/>
        <v>0.65950387458804671</v>
      </c>
      <c r="BK26" s="98">
        <v>6122</v>
      </c>
      <c r="BL26" s="98">
        <v>5666</v>
      </c>
      <c r="BM26" s="98">
        <f t="shared" si="266"/>
        <v>11788</v>
      </c>
      <c r="BN26" s="99">
        <v>3050</v>
      </c>
      <c r="BO26" s="99">
        <v>2281</v>
      </c>
      <c r="BP26" s="99">
        <f t="shared" si="267"/>
        <v>5331</v>
      </c>
      <c r="BQ26" s="104"/>
      <c r="BR26" s="104"/>
      <c r="BS26" s="104"/>
      <c r="BT26" s="99">
        <f t="shared" ref="BT26:BT43" si="482">+BN26+BQ26</f>
        <v>3050</v>
      </c>
      <c r="BU26" s="99">
        <f t="shared" si="268"/>
        <v>2281</v>
      </c>
      <c r="BV26" s="99">
        <f t="shared" si="268"/>
        <v>5331</v>
      </c>
      <c r="BW26" s="116">
        <f t="shared" si="270"/>
        <v>0.49820320156811498</v>
      </c>
      <c r="BX26" s="116">
        <f t="shared" si="271"/>
        <v>0.40257677373808681</v>
      </c>
      <c r="BY26" s="116">
        <f t="shared" si="272"/>
        <v>0.45223956565999324</v>
      </c>
      <c r="BZ26" s="98">
        <f t="shared" si="463"/>
        <v>28626</v>
      </c>
      <c r="CA26" s="98">
        <f t="shared" si="464"/>
        <v>28070</v>
      </c>
      <c r="CB26" s="98">
        <f t="shared" si="465"/>
        <v>56696</v>
      </c>
      <c r="CC26" s="98">
        <f t="shared" si="211"/>
        <v>18919</v>
      </c>
      <c r="CD26" s="98">
        <f t="shared" si="212"/>
        <v>16029</v>
      </c>
      <c r="CE26" s="98">
        <f t="shared" si="213"/>
        <v>34948</v>
      </c>
      <c r="CF26" s="103"/>
      <c r="CG26" s="103"/>
      <c r="CH26" s="103"/>
      <c r="CI26" s="98">
        <f t="shared" si="466"/>
        <v>18919</v>
      </c>
      <c r="CJ26" s="98">
        <f t="shared" si="467"/>
        <v>16029</v>
      </c>
      <c r="CK26" s="98">
        <f t="shared" si="468"/>
        <v>34948</v>
      </c>
      <c r="CL26" s="116">
        <f t="shared" si="454"/>
        <v>0.66090267588905194</v>
      </c>
      <c r="CM26" s="116">
        <f t="shared" si="218"/>
        <v>0.57103669397933732</v>
      </c>
      <c r="CN26" s="116">
        <f t="shared" si="219"/>
        <v>0.61641032877098911</v>
      </c>
      <c r="CO26" s="99">
        <v>42485</v>
      </c>
      <c r="CP26" s="99">
        <v>44999</v>
      </c>
      <c r="CQ26" s="99">
        <f t="shared" si="220"/>
        <v>87484</v>
      </c>
      <c r="CR26" s="99">
        <v>29146</v>
      </c>
      <c r="CS26" s="99">
        <v>28391</v>
      </c>
      <c r="CT26" s="99">
        <f t="shared" si="221"/>
        <v>57537</v>
      </c>
      <c r="CU26" s="104"/>
      <c r="CV26" s="104"/>
      <c r="CW26" s="104"/>
      <c r="CX26" s="99">
        <f t="shared" si="222"/>
        <v>29146</v>
      </c>
      <c r="CY26" s="99">
        <f t="shared" si="223"/>
        <v>28391</v>
      </c>
      <c r="CZ26" s="99">
        <f t="shared" si="223"/>
        <v>57537</v>
      </c>
      <c r="DA26" s="116">
        <f t="shared" si="273"/>
        <v>0.6860303636577616</v>
      </c>
      <c r="DB26" s="116">
        <f t="shared" si="225"/>
        <v>0.63092513166959263</v>
      </c>
      <c r="DC26" s="116">
        <f t="shared" si="226"/>
        <v>0.65768597686434094</v>
      </c>
      <c r="DD26" s="98">
        <v>13534</v>
      </c>
      <c r="DE26" s="98">
        <v>13892</v>
      </c>
      <c r="DF26" s="98">
        <f t="shared" si="274"/>
        <v>27426</v>
      </c>
      <c r="DG26" s="99">
        <v>6894</v>
      </c>
      <c r="DH26" s="99">
        <v>6011</v>
      </c>
      <c r="DI26" s="99">
        <f t="shared" si="275"/>
        <v>12905</v>
      </c>
      <c r="DJ26" s="104"/>
      <c r="DK26" s="104"/>
      <c r="DL26" s="104"/>
      <c r="DM26" s="99">
        <f t="shared" si="276"/>
        <v>6894</v>
      </c>
      <c r="DN26" s="99">
        <f t="shared" si="277"/>
        <v>6011</v>
      </c>
      <c r="DO26" s="99">
        <f t="shared" si="277"/>
        <v>12905</v>
      </c>
      <c r="DP26" s="116">
        <f t="shared" si="279"/>
        <v>0.50938377419831538</v>
      </c>
      <c r="DQ26" s="116">
        <f t="shared" si="280"/>
        <v>0.43269507630290815</v>
      </c>
      <c r="DR26" s="116">
        <f t="shared" si="281"/>
        <v>0.47053890468898124</v>
      </c>
      <c r="DS26" s="98">
        <f t="shared" si="227"/>
        <v>56019</v>
      </c>
      <c r="DT26" s="98">
        <f t="shared" si="228"/>
        <v>58891</v>
      </c>
      <c r="DU26" s="98">
        <f t="shared" si="229"/>
        <v>114910</v>
      </c>
      <c r="DV26" s="98">
        <f t="shared" si="230"/>
        <v>36040</v>
      </c>
      <c r="DW26" s="98">
        <f t="shared" si="231"/>
        <v>34402</v>
      </c>
      <c r="DX26" s="98">
        <f t="shared" si="232"/>
        <v>70442</v>
      </c>
      <c r="DY26" s="103"/>
      <c r="DZ26" s="103"/>
      <c r="EA26" s="103"/>
      <c r="EB26" s="98">
        <f t="shared" si="233"/>
        <v>36040</v>
      </c>
      <c r="EC26" s="98">
        <f t="shared" si="234"/>
        <v>34402</v>
      </c>
      <c r="ED26" s="98">
        <f t="shared" si="235"/>
        <v>70442</v>
      </c>
      <c r="EE26" s="116">
        <f t="shared" si="459"/>
        <v>0.64335314803905819</v>
      </c>
      <c r="EF26" s="116">
        <f t="shared" si="236"/>
        <v>0.58416396393336845</v>
      </c>
      <c r="EG26" s="116">
        <f t="shared" si="237"/>
        <v>0.61301888434426943</v>
      </c>
      <c r="EH26" s="98">
        <f t="shared" si="238"/>
        <v>160977</v>
      </c>
      <c r="EI26" s="98">
        <f t="shared" si="239"/>
        <v>153310</v>
      </c>
      <c r="EJ26" s="98">
        <f t="shared" si="239"/>
        <v>314287</v>
      </c>
      <c r="EK26" s="98">
        <v>65663</v>
      </c>
      <c r="EL26" s="98">
        <v>59738</v>
      </c>
      <c r="EM26" s="98">
        <f t="shared" si="241"/>
        <v>125401</v>
      </c>
      <c r="EN26" s="100">
        <f t="shared" si="470"/>
        <v>40.790299235294484</v>
      </c>
      <c r="EO26" s="100">
        <f t="shared" si="471"/>
        <v>38.965494749200964</v>
      </c>
      <c r="EP26" s="100">
        <f t="shared" si="472"/>
        <v>39.900154953911553</v>
      </c>
      <c r="EQ26" s="98">
        <f t="shared" si="245"/>
        <v>18919</v>
      </c>
      <c r="ER26" s="98">
        <f t="shared" si="246"/>
        <v>16029</v>
      </c>
      <c r="ES26" s="98">
        <f t="shared" si="246"/>
        <v>34948</v>
      </c>
      <c r="ET26" s="98">
        <v>6526</v>
      </c>
      <c r="EU26" s="98">
        <v>4954</v>
      </c>
      <c r="EV26" s="98">
        <f t="shared" si="248"/>
        <v>11480</v>
      </c>
      <c r="EW26" s="100">
        <f t="shared" si="473"/>
        <v>34.494423595327447</v>
      </c>
      <c r="EX26" s="100">
        <f t="shared" si="474"/>
        <v>30.906482001372513</v>
      </c>
      <c r="EY26" s="100">
        <f t="shared" si="474"/>
        <v>32.848803937278241</v>
      </c>
      <c r="EZ26" s="98">
        <f t="shared" si="252"/>
        <v>36040</v>
      </c>
      <c r="FA26" s="98">
        <f t="shared" si="253"/>
        <v>34402</v>
      </c>
      <c r="FB26" s="98">
        <f t="shared" si="253"/>
        <v>70442</v>
      </c>
      <c r="FC26" s="98">
        <v>11880</v>
      </c>
      <c r="FD26" s="98">
        <v>11120</v>
      </c>
      <c r="FE26" s="98">
        <f t="shared" si="255"/>
        <v>23000</v>
      </c>
      <c r="FF26" s="100">
        <f t="shared" si="475"/>
        <v>32.963374028856826</v>
      </c>
      <c r="FG26" s="100">
        <f t="shared" si="476"/>
        <v>32.323702110342424</v>
      </c>
      <c r="FH26" s="100">
        <f t="shared" si="477"/>
        <v>32.650975270435254</v>
      </c>
    </row>
    <row r="27" spans="1:164" ht="28.5" x14ac:dyDescent="0.25">
      <c r="A27" s="94">
        <v>18</v>
      </c>
      <c r="B27" s="118" t="s">
        <v>153</v>
      </c>
      <c r="C27" s="96">
        <v>434503</v>
      </c>
      <c r="D27" s="96">
        <v>394363</v>
      </c>
      <c r="E27" s="96">
        <f t="shared" si="182"/>
        <v>828866</v>
      </c>
      <c r="F27" s="96">
        <v>284727</v>
      </c>
      <c r="G27" s="96">
        <v>296734</v>
      </c>
      <c r="H27" s="96">
        <f t="shared" si="183"/>
        <v>581461</v>
      </c>
      <c r="I27" s="96">
        <v>66564</v>
      </c>
      <c r="J27" s="96">
        <v>45902</v>
      </c>
      <c r="K27" s="96">
        <f t="shared" si="443"/>
        <v>112466</v>
      </c>
      <c r="L27" s="97">
        <f t="shared" si="460"/>
        <v>351291</v>
      </c>
      <c r="M27" s="98">
        <f t="shared" si="461"/>
        <v>342636</v>
      </c>
      <c r="N27" s="98">
        <f t="shared" si="462"/>
        <v>693927</v>
      </c>
      <c r="O27" s="116">
        <f t="shared" si="187"/>
        <v>0.80848923942987738</v>
      </c>
      <c r="P27" s="116">
        <f t="shared" si="188"/>
        <v>0.86883404376171192</v>
      </c>
      <c r="Q27" s="116">
        <f t="shared" si="189"/>
        <v>0.83720046424874472</v>
      </c>
      <c r="R27" s="98">
        <v>21465</v>
      </c>
      <c r="S27" s="98">
        <v>5695</v>
      </c>
      <c r="T27" s="98">
        <f t="shared" si="478"/>
        <v>27160</v>
      </c>
      <c r="U27" s="98">
        <v>806</v>
      </c>
      <c r="V27" s="98">
        <v>316</v>
      </c>
      <c r="W27" s="98">
        <f t="shared" si="258"/>
        <v>1122</v>
      </c>
      <c r="X27" s="98">
        <v>2016</v>
      </c>
      <c r="Y27" s="98">
        <v>689</v>
      </c>
      <c r="Z27" s="98">
        <f t="shared" ref="Z27:Z40" si="483">X27+Y27</f>
        <v>2705</v>
      </c>
      <c r="AA27" s="98">
        <f t="shared" si="259"/>
        <v>2822</v>
      </c>
      <c r="AB27" s="98">
        <f t="shared" si="260"/>
        <v>1005</v>
      </c>
      <c r="AC27" s="98">
        <f t="shared" si="261"/>
        <v>3827</v>
      </c>
      <c r="AD27" s="116">
        <f t="shared" si="479"/>
        <v>0.13146983461448869</v>
      </c>
      <c r="AE27" s="116">
        <f t="shared" si="480"/>
        <v>0.17647058823529413</v>
      </c>
      <c r="AF27" s="116">
        <f t="shared" si="481"/>
        <v>0.14090574374079529</v>
      </c>
      <c r="AG27" s="98">
        <f t="shared" si="190"/>
        <v>455968</v>
      </c>
      <c r="AH27" s="98">
        <f t="shared" si="191"/>
        <v>400058</v>
      </c>
      <c r="AI27" s="98">
        <f t="shared" si="191"/>
        <v>856026</v>
      </c>
      <c r="AJ27" s="98">
        <f t="shared" si="193"/>
        <v>285533</v>
      </c>
      <c r="AK27" s="98">
        <f t="shared" si="194"/>
        <v>297050</v>
      </c>
      <c r="AL27" s="98">
        <f t="shared" si="194"/>
        <v>582583</v>
      </c>
      <c r="AM27" s="98">
        <f t="shared" si="447"/>
        <v>68580</v>
      </c>
      <c r="AN27" s="98">
        <f t="shared" si="265"/>
        <v>46591</v>
      </c>
      <c r="AO27" s="98">
        <f t="shared" si="265"/>
        <v>115171</v>
      </c>
      <c r="AP27" s="98">
        <f t="shared" si="195"/>
        <v>354113</v>
      </c>
      <c r="AQ27" s="98">
        <f t="shared" si="196"/>
        <v>343641</v>
      </c>
      <c r="AR27" s="98">
        <f t="shared" si="196"/>
        <v>697754</v>
      </c>
      <c r="AS27" s="116">
        <f t="shared" si="197"/>
        <v>0.77661809600673737</v>
      </c>
      <c r="AT27" s="116">
        <f t="shared" si="198"/>
        <v>0.85897794819751139</v>
      </c>
      <c r="AU27" s="116">
        <f t="shared" si="199"/>
        <v>0.81510841960407743</v>
      </c>
      <c r="AV27" s="99">
        <v>82799</v>
      </c>
      <c r="AW27" s="99">
        <v>73748</v>
      </c>
      <c r="AX27" s="99">
        <f t="shared" si="200"/>
        <v>156547</v>
      </c>
      <c r="AY27" s="99">
        <v>48918</v>
      </c>
      <c r="AZ27" s="99">
        <v>48772</v>
      </c>
      <c r="BA27" s="99">
        <f t="shared" si="201"/>
        <v>97690</v>
      </c>
      <c r="BB27" s="99">
        <v>14209</v>
      </c>
      <c r="BC27" s="99">
        <v>10915</v>
      </c>
      <c r="BD27" s="99">
        <f t="shared" si="448"/>
        <v>25124</v>
      </c>
      <c r="BE27" s="99">
        <f t="shared" si="202"/>
        <v>63127</v>
      </c>
      <c r="BF27" s="99">
        <f t="shared" si="203"/>
        <v>59687</v>
      </c>
      <c r="BG27" s="99">
        <f t="shared" si="203"/>
        <v>122814</v>
      </c>
      <c r="BH27" s="116">
        <f t="shared" si="205"/>
        <v>0.76241258952402802</v>
      </c>
      <c r="BI27" s="116">
        <f t="shared" si="206"/>
        <v>0.80933720236480988</v>
      </c>
      <c r="BJ27" s="116">
        <f t="shared" si="207"/>
        <v>0.78451838744913671</v>
      </c>
      <c r="BK27" s="98">
        <v>5467</v>
      </c>
      <c r="BL27" s="98">
        <v>1766</v>
      </c>
      <c r="BM27" s="98">
        <f t="shared" si="266"/>
        <v>7233</v>
      </c>
      <c r="BN27" s="99">
        <v>154</v>
      </c>
      <c r="BO27" s="99">
        <v>49</v>
      </c>
      <c r="BP27" s="99">
        <f t="shared" si="267"/>
        <v>203</v>
      </c>
      <c r="BQ27" s="99">
        <v>471</v>
      </c>
      <c r="BR27" s="99">
        <v>177</v>
      </c>
      <c r="BS27" s="99">
        <f t="shared" ref="BS27:BS40" si="484">BQ27+BR27</f>
        <v>648</v>
      </c>
      <c r="BT27" s="99">
        <f t="shared" ref="BT27:BT30" si="485">+BN27+BQ27</f>
        <v>625</v>
      </c>
      <c r="BU27" s="99">
        <f t="shared" ref="BU27:BU30" si="486">+BO27+BR27</f>
        <v>226</v>
      </c>
      <c r="BV27" s="99">
        <f t="shared" ref="BV27:BV30" si="487">+BP27+BS27</f>
        <v>851</v>
      </c>
      <c r="BW27" s="116">
        <f t="shared" si="270"/>
        <v>0.11432229742088897</v>
      </c>
      <c r="BX27" s="116">
        <f t="shared" si="271"/>
        <v>0.12797281993204984</v>
      </c>
      <c r="BY27" s="116">
        <f t="shared" si="272"/>
        <v>0.1176551914834785</v>
      </c>
      <c r="BZ27" s="98">
        <f t="shared" si="463"/>
        <v>88266</v>
      </c>
      <c r="CA27" s="98">
        <f t="shared" si="464"/>
        <v>75514</v>
      </c>
      <c r="CB27" s="98">
        <f t="shared" si="465"/>
        <v>163780</v>
      </c>
      <c r="CC27" s="98">
        <f t="shared" si="211"/>
        <v>49072</v>
      </c>
      <c r="CD27" s="98">
        <f t="shared" si="212"/>
        <v>48821</v>
      </c>
      <c r="CE27" s="98">
        <f t="shared" si="213"/>
        <v>97893</v>
      </c>
      <c r="CF27" s="98">
        <f t="shared" si="449"/>
        <v>14680</v>
      </c>
      <c r="CG27" s="98">
        <f t="shared" si="450"/>
        <v>11092</v>
      </c>
      <c r="CH27" s="98">
        <f t="shared" si="451"/>
        <v>25772</v>
      </c>
      <c r="CI27" s="98">
        <f t="shared" si="466"/>
        <v>63752</v>
      </c>
      <c r="CJ27" s="98">
        <f t="shared" si="467"/>
        <v>59913</v>
      </c>
      <c r="CK27" s="98">
        <f t="shared" si="468"/>
        <v>123665</v>
      </c>
      <c r="CL27" s="116">
        <f t="shared" si="454"/>
        <v>0.72227131624861218</v>
      </c>
      <c r="CM27" s="116">
        <f t="shared" si="218"/>
        <v>0.79340254787191777</v>
      </c>
      <c r="CN27" s="116">
        <f t="shared" si="219"/>
        <v>0.75506777384296009</v>
      </c>
      <c r="CO27" s="99">
        <v>31091</v>
      </c>
      <c r="CP27" s="99">
        <v>26965</v>
      </c>
      <c r="CQ27" s="99">
        <f t="shared" si="220"/>
        <v>58056</v>
      </c>
      <c r="CR27" s="99">
        <v>18809</v>
      </c>
      <c r="CS27" s="99">
        <v>18603</v>
      </c>
      <c r="CT27" s="99">
        <f t="shared" si="221"/>
        <v>37412</v>
      </c>
      <c r="CU27" s="99">
        <v>5425</v>
      </c>
      <c r="CV27" s="99">
        <v>4027</v>
      </c>
      <c r="CW27" s="99">
        <f t="shared" si="455"/>
        <v>9452</v>
      </c>
      <c r="CX27" s="99">
        <f t="shared" si="222"/>
        <v>24234</v>
      </c>
      <c r="CY27" s="99">
        <f t="shared" si="223"/>
        <v>22630</v>
      </c>
      <c r="CZ27" s="99">
        <f t="shared" si="223"/>
        <v>46864</v>
      </c>
      <c r="DA27" s="116">
        <f t="shared" si="273"/>
        <v>0.77945386124601979</v>
      </c>
      <c r="DB27" s="116">
        <f t="shared" si="225"/>
        <v>0.83923604672723906</v>
      </c>
      <c r="DC27" s="116">
        <f t="shared" si="226"/>
        <v>0.80722061457902716</v>
      </c>
      <c r="DD27" s="98">
        <v>1416</v>
      </c>
      <c r="DE27" s="98">
        <v>329</v>
      </c>
      <c r="DF27" s="98">
        <f t="shared" si="274"/>
        <v>1745</v>
      </c>
      <c r="DG27" s="99">
        <v>42</v>
      </c>
      <c r="DH27" s="99">
        <v>12</v>
      </c>
      <c r="DI27" s="99">
        <f t="shared" si="275"/>
        <v>54</v>
      </c>
      <c r="DJ27" s="99">
        <v>135</v>
      </c>
      <c r="DK27" s="99">
        <v>40</v>
      </c>
      <c r="DL27" s="99">
        <f t="shared" ref="DL27:DL40" si="488">DJ27+DK27</f>
        <v>175</v>
      </c>
      <c r="DM27" s="99">
        <f t="shared" si="276"/>
        <v>177</v>
      </c>
      <c r="DN27" s="99">
        <f t="shared" si="277"/>
        <v>52</v>
      </c>
      <c r="DO27" s="99">
        <f t="shared" si="277"/>
        <v>229</v>
      </c>
      <c r="DP27" s="116">
        <f t="shared" si="279"/>
        <v>0.125</v>
      </c>
      <c r="DQ27" s="116">
        <f t="shared" si="280"/>
        <v>0.1580547112462006</v>
      </c>
      <c r="DR27" s="116">
        <f t="shared" si="281"/>
        <v>0.13123209169054442</v>
      </c>
      <c r="DS27" s="98">
        <f t="shared" si="227"/>
        <v>32507</v>
      </c>
      <c r="DT27" s="98">
        <f t="shared" si="228"/>
        <v>27294</v>
      </c>
      <c r="DU27" s="98">
        <f t="shared" si="229"/>
        <v>59801</v>
      </c>
      <c r="DV27" s="98">
        <f t="shared" si="230"/>
        <v>18851</v>
      </c>
      <c r="DW27" s="98">
        <f t="shared" si="231"/>
        <v>18615</v>
      </c>
      <c r="DX27" s="98">
        <f t="shared" si="232"/>
        <v>37466</v>
      </c>
      <c r="DY27" s="98">
        <f t="shared" si="456"/>
        <v>5560</v>
      </c>
      <c r="DZ27" s="98">
        <f t="shared" si="457"/>
        <v>4067</v>
      </c>
      <c r="EA27" s="98">
        <f t="shared" si="458"/>
        <v>9627</v>
      </c>
      <c r="EB27" s="98">
        <f t="shared" si="233"/>
        <v>24411</v>
      </c>
      <c r="EC27" s="98">
        <f t="shared" si="234"/>
        <v>22682</v>
      </c>
      <c r="ED27" s="98">
        <f t="shared" si="235"/>
        <v>47093</v>
      </c>
      <c r="EE27" s="116">
        <f t="shared" si="459"/>
        <v>0.75094595010305476</v>
      </c>
      <c r="EF27" s="116">
        <f t="shared" si="236"/>
        <v>0.83102513372902465</v>
      </c>
      <c r="EG27" s="116">
        <f t="shared" si="237"/>
        <v>0.78749519238808718</v>
      </c>
      <c r="EH27" s="98">
        <f t="shared" si="238"/>
        <v>354113</v>
      </c>
      <c r="EI27" s="98">
        <f t="shared" si="239"/>
        <v>343641</v>
      </c>
      <c r="EJ27" s="98">
        <f t="shared" si="239"/>
        <v>697754</v>
      </c>
      <c r="EK27" s="98">
        <v>193561</v>
      </c>
      <c r="EL27" s="98">
        <v>233022</v>
      </c>
      <c r="EM27" s="98">
        <f t="shared" si="241"/>
        <v>426583</v>
      </c>
      <c r="EN27" s="100">
        <f t="shared" si="470"/>
        <v>54.660800365984869</v>
      </c>
      <c r="EO27" s="100">
        <f t="shared" si="471"/>
        <v>67.809720027586934</v>
      </c>
      <c r="EP27" s="100">
        <f t="shared" si="472"/>
        <v>61.136589686336443</v>
      </c>
      <c r="EQ27" s="98">
        <f t="shared" si="245"/>
        <v>63752</v>
      </c>
      <c r="ER27" s="98">
        <f t="shared" si="246"/>
        <v>59913</v>
      </c>
      <c r="ES27" s="98">
        <f t="shared" si="246"/>
        <v>123665</v>
      </c>
      <c r="ET27" s="98">
        <v>30451</v>
      </c>
      <c r="EU27" s="98">
        <v>34325</v>
      </c>
      <c r="EV27" s="98">
        <f t="shared" si="248"/>
        <v>64776</v>
      </c>
      <c r="EW27" s="100">
        <f t="shared" si="473"/>
        <v>47.76477600702723</v>
      </c>
      <c r="EX27" s="100">
        <f t="shared" si="474"/>
        <v>57.291405871847509</v>
      </c>
      <c r="EY27" s="100">
        <f t="shared" si="474"/>
        <v>52.38022075769215</v>
      </c>
      <c r="EZ27" s="98">
        <f t="shared" si="252"/>
        <v>24411</v>
      </c>
      <c r="FA27" s="98">
        <f t="shared" si="253"/>
        <v>22682</v>
      </c>
      <c r="FB27" s="98">
        <f t="shared" si="253"/>
        <v>47093</v>
      </c>
      <c r="FC27" s="98">
        <v>11362</v>
      </c>
      <c r="FD27" s="98">
        <v>13302</v>
      </c>
      <c r="FE27" s="98">
        <f t="shared" si="255"/>
        <v>24664</v>
      </c>
      <c r="FF27" s="100">
        <f t="shared" si="475"/>
        <v>46.544590553439022</v>
      </c>
      <c r="FG27" s="100">
        <f t="shared" si="476"/>
        <v>58.645622079181727</v>
      </c>
      <c r="FH27" s="100">
        <f t="shared" si="477"/>
        <v>52.372964134797101</v>
      </c>
    </row>
    <row r="28" spans="1:164" ht="28.5" x14ac:dyDescent="0.25">
      <c r="A28" s="94">
        <v>19</v>
      </c>
      <c r="B28" s="118" t="s">
        <v>154</v>
      </c>
      <c r="C28" s="96">
        <v>231537</v>
      </c>
      <c r="D28" s="96">
        <v>223916</v>
      </c>
      <c r="E28" s="96">
        <f t="shared" si="182"/>
        <v>455453</v>
      </c>
      <c r="F28" s="96">
        <v>220053</v>
      </c>
      <c r="G28" s="96">
        <v>217103</v>
      </c>
      <c r="H28" s="96">
        <f t="shared" si="183"/>
        <v>437156</v>
      </c>
      <c r="I28" s="96">
        <v>7454</v>
      </c>
      <c r="J28" s="96">
        <v>4715</v>
      </c>
      <c r="K28" s="96">
        <f t="shared" si="443"/>
        <v>12169</v>
      </c>
      <c r="L28" s="97">
        <f t="shared" si="460"/>
        <v>227507</v>
      </c>
      <c r="M28" s="98">
        <f t="shared" si="461"/>
        <v>221818</v>
      </c>
      <c r="N28" s="98">
        <f t="shared" si="462"/>
        <v>449325</v>
      </c>
      <c r="O28" s="116">
        <f t="shared" si="187"/>
        <v>0.98259457451724774</v>
      </c>
      <c r="P28" s="116">
        <f t="shared" si="188"/>
        <v>0.99063041497704496</v>
      </c>
      <c r="Q28" s="116">
        <f t="shared" si="189"/>
        <v>0.9865452637264438</v>
      </c>
      <c r="R28" s="98">
        <v>9367</v>
      </c>
      <c r="S28" s="98">
        <v>5640</v>
      </c>
      <c r="T28" s="98">
        <f t="shared" si="478"/>
        <v>15007</v>
      </c>
      <c r="U28" s="98">
        <v>7454</v>
      </c>
      <c r="V28" s="98">
        <v>4715</v>
      </c>
      <c r="W28" s="98">
        <f t="shared" si="258"/>
        <v>12169</v>
      </c>
      <c r="X28" s="103"/>
      <c r="Y28" s="103"/>
      <c r="Z28" s="103"/>
      <c r="AA28" s="98">
        <f t="shared" si="259"/>
        <v>7454</v>
      </c>
      <c r="AB28" s="98">
        <f t="shared" si="260"/>
        <v>4715</v>
      </c>
      <c r="AC28" s="98">
        <f t="shared" si="261"/>
        <v>12169</v>
      </c>
      <c r="AD28" s="116">
        <f t="shared" si="479"/>
        <v>0.79577239244155007</v>
      </c>
      <c r="AE28" s="116">
        <f t="shared" si="480"/>
        <v>0.83599290780141844</v>
      </c>
      <c r="AF28" s="116">
        <f t="shared" si="481"/>
        <v>0.81088825214899718</v>
      </c>
      <c r="AG28" s="98">
        <f t="shared" si="190"/>
        <v>240904</v>
      </c>
      <c r="AH28" s="98">
        <f t="shared" si="191"/>
        <v>229556</v>
      </c>
      <c r="AI28" s="98">
        <f t="shared" si="191"/>
        <v>470460</v>
      </c>
      <c r="AJ28" s="98">
        <f t="shared" si="193"/>
        <v>227507</v>
      </c>
      <c r="AK28" s="98">
        <f t="shared" si="194"/>
        <v>221818</v>
      </c>
      <c r="AL28" s="98">
        <f t="shared" si="194"/>
        <v>449325</v>
      </c>
      <c r="AM28" s="98">
        <f t="shared" si="447"/>
        <v>7454</v>
      </c>
      <c r="AN28" s="98">
        <f t="shared" si="265"/>
        <v>4715</v>
      </c>
      <c r="AO28" s="98">
        <f t="shared" si="265"/>
        <v>12169</v>
      </c>
      <c r="AP28" s="98">
        <f t="shared" si="195"/>
        <v>234961</v>
      </c>
      <c r="AQ28" s="98">
        <f t="shared" si="196"/>
        <v>226533</v>
      </c>
      <c r="AR28" s="98">
        <f t="shared" si="196"/>
        <v>461494</v>
      </c>
      <c r="AS28" s="116">
        <f t="shared" si="197"/>
        <v>0.97533042207684384</v>
      </c>
      <c r="AT28" s="116">
        <f t="shared" si="198"/>
        <v>0.98683110003659236</v>
      </c>
      <c r="AU28" s="116">
        <f t="shared" si="199"/>
        <v>0.98094205671045365</v>
      </c>
      <c r="AV28" s="99">
        <v>23902</v>
      </c>
      <c r="AW28" s="99">
        <v>22842</v>
      </c>
      <c r="AX28" s="99">
        <f t="shared" si="200"/>
        <v>46744</v>
      </c>
      <c r="AY28" s="99">
        <v>21533</v>
      </c>
      <c r="AZ28" s="99">
        <v>21493</v>
      </c>
      <c r="BA28" s="99">
        <f t="shared" si="201"/>
        <v>43026</v>
      </c>
      <c r="BB28" s="99">
        <v>1437</v>
      </c>
      <c r="BC28" s="99">
        <v>956</v>
      </c>
      <c r="BD28" s="99">
        <f t="shared" si="448"/>
        <v>2393</v>
      </c>
      <c r="BE28" s="99">
        <f t="shared" si="202"/>
        <v>22970</v>
      </c>
      <c r="BF28" s="99">
        <f t="shared" si="203"/>
        <v>22449</v>
      </c>
      <c r="BG28" s="99">
        <f t="shared" si="203"/>
        <v>45419</v>
      </c>
      <c r="BH28" s="116">
        <f t="shared" si="205"/>
        <v>0.96100744707555852</v>
      </c>
      <c r="BI28" s="116">
        <f t="shared" si="206"/>
        <v>0.98279485158917779</v>
      </c>
      <c r="BJ28" s="116">
        <f t="shared" si="207"/>
        <v>0.97165411603628271</v>
      </c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98">
        <f t="shared" si="463"/>
        <v>23902</v>
      </c>
      <c r="CA28" s="98">
        <f t="shared" si="464"/>
        <v>22842</v>
      </c>
      <c r="CB28" s="98">
        <f t="shared" si="465"/>
        <v>46744</v>
      </c>
      <c r="CC28" s="98">
        <f t="shared" si="211"/>
        <v>21533</v>
      </c>
      <c r="CD28" s="98">
        <f t="shared" si="212"/>
        <v>21493</v>
      </c>
      <c r="CE28" s="98">
        <f t="shared" si="213"/>
        <v>43026</v>
      </c>
      <c r="CF28" s="98">
        <f t="shared" si="449"/>
        <v>1437</v>
      </c>
      <c r="CG28" s="98">
        <f t="shared" si="450"/>
        <v>956</v>
      </c>
      <c r="CH28" s="98">
        <f t="shared" si="451"/>
        <v>2393</v>
      </c>
      <c r="CI28" s="98">
        <f t="shared" si="466"/>
        <v>22970</v>
      </c>
      <c r="CJ28" s="98">
        <f t="shared" si="467"/>
        <v>22449</v>
      </c>
      <c r="CK28" s="98">
        <f t="shared" si="468"/>
        <v>45419</v>
      </c>
      <c r="CL28" s="116">
        <f>CI28/BZ28</f>
        <v>0.96100744707555852</v>
      </c>
      <c r="CM28" s="116">
        <f t="shared" si="218"/>
        <v>0.98279485158917779</v>
      </c>
      <c r="CN28" s="116">
        <f t="shared" si="219"/>
        <v>0.97165411603628271</v>
      </c>
      <c r="CO28" s="99">
        <v>4264</v>
      </c>
      <c r="CP28" s="99">
        <v>4192</v>
      </c>
      <c r="CQ28" s="99">
        <f t="shared" si="220"/>
        <v>8456</v>
      </c>
      <c r="CR28" s="99">
        <v>3482</v>
      </c>
      <c r="CS28" s="99">
        <v>3514</v>
      </c>
      <c r="CT28" s="99">
        <f t="shared" si="221"/>
        <v>6996</v>
      </c>
      <c r="CU28" s="99">
        <v>289</v>
      </c>
      <c r="CV28" s="99">
        <v>313</v>
      </c>
      <c r="CW28" s="99">
        <f t="shared" si="455"/>
        <v>602</v>
      </c>
      <c r="CX28" s="99">
        <f t="shared" si="222"/>
        <v>3771</v>
      </c>
      <c r="CY28" s="99">
        <f t="shared" si="223"/>
        <v>3827</v>
      </c>
      <c r="CZ28" s="99">
        <f t="shared" si="223"/>
        <v>7598</v>
      </c>
      <c r="DA28" s="116">
        <f t="shared" si="273"/>
        <v>0.88438086303939967</v>
      </c>
      <c r="DB28" s="116">
        <f t="shared" si="225"/>
        <v>0.91292938931297707</v>
      </c>
      <c r="DC28" s="116">
        <f t="shared" si="226"/>
        <v>0.89853358561967833</v>
      </c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98">
        <f t="shared" si="227"/>
        <v>4264</v>
      </c>
      <c r="DT28" s="98">
        <f t="shared" si="228"/>
        <v>4192</v>
      </c>
      <c r="DU28" s="98">
        <f t="shared" si="229"/>
        <v>8456</v>
      </c>
      <c r="DV28" s="98">
        <f t="shared" si="230"/>
        <v>3482</v>
      </c>
      <c r="DW28" s="98">
        <f t="shared" si="231"/>
        <v>3514</v>
      </c>
      <c r="DX28" s="98">
        <f t="shared" si="232"/>
        <v>6996</v>
      </c>
      <c r="DY28" s="98">
        <f t="shared" si="456"/>
        <v>289</v>
      </c>
      <c r="DZ28" s="98">
        <f t="shared" si="457"/>
        <v>313</v>
      </c>
      <c r="EA28" s="98">
        <f t="shared" si="458"/>
        <v>602</v>
      </c>
      <c r="EB28" s="98">
        <f t="shared" si="233"/>
        <v>3771</v>
      </c>
      <c r="EC28" s="98">
        <f t="shared" si="234"/>
        <v>3827</v>
      </c>
      <c r="ED28" s="98">
        <f t="shared" si="235"/>
        <v>7598</v>
      </c>
      <c r="EE28" s="116">
        <f t="shared" si="459"/>
        <v>0.88438086303939967</v>
      </c>
      <c r="EF28" s="116">
        <f t="shared" si="236"/>
        <v>0.91292938931297707</v>
      </c>
      <c r="EG28" s="116">
        <f t="shared" si="237"/>
        <v>0.89853358561967833</v>
      </c>
      <c r="EH28" s="98">
        <f t="shared" si="238"/>
        <v>234961</v>
      </c>
      <c r="EI28" s="98">
        <f t="shared" si="239"/>
        <v>226533</v>
      </c>
      <c r="EJ28" s="98">
        <f t="shared" si="239"/>
        <v>461494</v>
      </c>
      <c r="EK28" s="98">
        <v>0</v>
      </c>
      <c r="EL28" s="98">
        <v>0</v>
      </c>
      <c r="EM28" s="98">
        <f>72371+120478</f>
        <v>192849</v>
      </c>
      <c r="EN28" s="110"/>
      <c r="EO28" s="110"/>
      <c r="EP28" s="100">
        <f t="shared" si="472"/>
        <v>41.787975574980386</v>
      </c>
      <c r="EQ28" s="98">
        <f t="shared" si="245"/>
        <v>22970</v>
      </c>
      <c r="ER28" s="98">
        <f t="shared" si="246"/>
        <v>22449</v>
      </c>
      <c r="ES28" s="98">
        <f t="shared" si="246"/>
        <v>45419</v>
      </c>
      <c r="ET28" s="98">
        <v>0</v>
      </c>
      <c r="EU28" s="98">
        <v>0</v>
      </c>
      <c r="EV28" s="98">
        <f>1409+2948</f>
        <v>4357</v>
      </c>
      <c r="EW28" s="103"/>
      <c r="EX28" s="103"/>
      <c r="EY28" s="100">
        <f t="shared" si="474"/>
        <v>9.5929016490895886</v>
      </c>
      <c r="EZ28" s="98">
        <f t="shared" si="252"/>
        <v>3771</v>
      </c>
      <c r="FA28" s="98">
        <f t="shared" si="253"/>
        <v>3827</v>
      </c>
      <c r="FB28" s="98">
        <f t="shared" si="253"/>
        <v>7598</v>
      </c>
      <c r="FC28" s="103"/>
      <c r="FD28" s="103"/>
      <c r="FE28" s="98">
        <f>282+112</f>
        <v>394</v>
      </c>
      <c r="FF28" s="103"/>
      <c r="FG28" s="103"/>
      <c r="FH28" s="100">
        <f t="shared" si="477"/>
        <v>5.1855751513556196</v>
      </c>
    </row>
    <row r="29" spans="1:164" ht="28.5" x14ac:dyDescent="0.25">
      <c r="A29" s="94">
        <v>20</v>
      </c>
      <c r="B29" s="118" t="s">
        <v>109</v>
      </c>
      <c r="C29" s="96">
        <v>949323</v>
      </c>
      <c r="D29" s="96">
        <v>759013</v>
      </c>
      <c r="E29" s="96">
        <f>C29+D29</f>
        <v>1708336</v>
      </c>
      <c r="F29" s="96">
        <v>799260</v>
      </c>
      <c r="G29" s="96">
        <v>685002</v>
      </c>
      <c r="H29" s="96">
        <f>F29+G29</f>
        <v>1484262</v>
      </c>
      <c r="I29" s="96">
        <v>18565</v>
      </c>
      <c r="J29" s="96">
        <v>9782</v>
      </c>
      <c r="K29" s="96">
        <f>I29+J29</f>
        <v>28347</v>
      </c>
      <c r="L29" s="97">
        <f>F29+I29</f>
        <v>817825</v>
      </c>
      <c r="M29" s="98">
        <f>G29+J29</f>
        <v>694784</v>
      </c>
      <c r="N29" s="98">
        <f>H29+K29</f>
        <v>1512609</v>
      </c>
      <c r="O29" s="116">
        <f>L29/C29</f>
        <v>0.86148234057322959</v>
      </c>
      <c r="P29" s="116">
        <f>M29/D29</f>
        <v>0.91537826097840225</v>
      </c>
      <c r="Q29" s="116">
        <f>N29/E29</f>
        <v>0.88542827640464172</v>
      </c>
      <c r="R29" s="98">
        <v>33623</v>
      </c>
      <c r="S29" s="98">
        <v>13046</v>
      </c>
      <c r="T29" s="98">
        <f>R29+S29</f>
        <v>46669</v>
      </c>
      <c r="U29" s="98">
        <v>14966</v>
      </c>
      <c r="V29" s="98">
        <v>7251</v>
      </c>
      <c r="W29" s="98">
        <f>U29+V29</f>
        <v>22217</v>
      </c>
      <c r="X29" s="98">
        <v>1609</v>
      </c>
      <c r="Y29" s="98">
        <v>599</v>
      </c>
      <c r="Z29" s="98">
        <f>X29+Y29</f>
        <v>2208</v>
      </c>
      <c r="AA29" s="98">
        <f>U29+X29</f>
        <v>16575</v>
      </c>
      <c r="AB29" s="98">
        <f>V29+Y29</f>
        <v>7850</v>
      </c>
      <c r="AC29" s="98">
        <f>W29+Z29</f>
        <v>24425</v>
      </c>
      <c r="AD29" s="116">
        <f t="shared" ref="AD29" si="489">AA29/R29</f>
        <v>0.49296612437914522</v>
      </c>
      <c r="AE29" s="116">
        <f t="shared" ref="AE29" si="490">AB29/S29</f>
        <v>0.60171700137973327</v>
      </c>
      <c r="AF29" s="116">
        <f>AC29/T29</f>
        <v>0.52336668880841675</v>
      </c>
      <c r="AG29" s="98">
        <f t="shared" ref="AG29:AR29" si="491">C29+R29</f>
        <v>982946</v>
      </c>
      <c r="AH29" s="98">
        <f t="shared" si="491"/>
        <v>772059</v>
      </c>
      <c r="AI29" s="98">
        <f t="shared" si="491"/>
        <v>1755005</v>
      </c>
      <c r="AJ29" s="98">
        <f t="shared" si="491"/>
        <v>814226</v>
      </c>
      <c r="AK29" s="98">
        <f t="shared" si="491"/>
        <v>692253</v>
      </c>
      <c r="AL29" s="98">
        <f t="shared" si="491"/>
        <v>1506479</v>
      </c>
      <c r="AM29" s="98">
        <f t="shared" si="491"/>
        <v>20174</v>
      </c>
      <c r="AN29" s="98">
        <f t="shared" si="491"/>
        <v>10381</v>
      </c>
      <c r="AO29" s="98">
        <f t="shared" si="491"/>
        <v>30555</v>
      </c>
      <c r="AP29" s="98">
        <f t="shared" si="491"/>
        <v>834400</v>
      </c>
      <c r="AQ29" s="98">
        <f t="shared" si="491"/>
        <v>702634</v>
      </c>
      <c r="AR29" s="98">
        <f t="shared" si="491"/>
        <v>1537034</v>
      </c>
      <c r="AS29" s="116">
        <f>AP29/AG29</f>
        <v>0.84887674399204027</v>
      </c>
      <c r="AT29" s="116">
        <f>AQ29/AH29</f>
        <v>0.91007811579166875</v>
      </c>
      <c r="AU29" s="116">
        <f>AR29/AI29</f>
        <v>0.87580035384514576</v>
      </c>
      <c r="AV29" s="99">
        <v>138887</v>
      </c>
      <c r="AW29" s="99">
        <v>112343</v>
      </c>
      <c r="AX29" s="99">
        <f>+AV29+AW29</f>
        <v>251230</v>
      </c>
      <c r="AY29" s="99">
        <v>108819</v>
      </c>
      <c r="AZ29" s="99">
        <v>95959</v>
      </c>
      <c r="BA29" s="99">
        <f>+AY29+AZ29</f>
        <v>204778</v>
      </c>
      <c r="BB29" s="99">
        <v>3795</v>
      </c>
      <c r="BC29" s="99">
        <v>2302</v>
      </c>
      <c r="BD29" s="99">
        <f>+BB29+BC29</f>
        <v>6097</v>
      </c>
      <c r="BE29" s="99">
        <f>+AY29+BB29</f>
        <v>112614</v>
      </c>
      <c r="BF29" s="99">
        <f>+AZ29+BC29</f>
        <v>98261</v>
      </c>
      <c r="BG29" s="99">
        <f>+BA29+BD29</f>
        <v>210875</v>
      </c>
      <c r="BH29" s="116">
        <f>BE29/AV29</f>
        <v>0.81083182731285142</v>
      </c>
      <c r="BI29" s="116">
        <f>BF29/AW29</f>
        <v>0.87465173620074232</v>
      </c>
      <c r="BJ29" s="116">
        <f>BG29/AX29</f>
        <v>0.83937029813318476</v>
      </c>
      <c r="BK29" s="98">
        <v>4522</v>
      </c>
      <c r="BL29" s="98">
        <v>1983</v>
      </c>
      <c r="BM29" s="98">
        <f>BK29+BL29</f>
        <v>6505</v>
      </c>
      <c r="BN29" s="99">
        <v>1625</v>
      </c>
      <c r="BO29" s="99">
        <v>918</v>
      </c>
      <c r="BP29" s="99">
        <f>BN29+BO29</f>
        <v>2543</v>
      </c>
      <c r="BQ29" s="99">
        <v>267</v>
      </c>
      <c r="BR29" s="99">
        <v>108</v>
      </c>
      <c r="BS29" s="99">
        <f>BQ29+BR29</f>
        <v>375</v>
      </c>
      <c r="BT29" s="99">
        <f>+BN29+BQ29</f>
        <v>1892</v>
      </c>
      <c r="BU29" s="99">
        <f>+BO29+BR29</f>
        <v>1026</v>
      </c>
      <c r="BV29" s="99">
        <f>+BP29+BS29</f>
        <v>2918</v>
      </c>
      <c r="BW29" s="116">
        <f>BT29/BK29</f>
        <v>0.41839893852277754</v>
      </c>
      <c r="BX29" s="116">
        <f>BU29/BL29</f>
        <v>0.51739788199697423</v>
      </c>
      <c r="BY29" s="116">
        <f>BV29/BM29</f>
        <v>0.44857801691006916</v>
      </c>
      <c r="BZ29" s="98">
        <f t="shared" ref="BZ29:CK29" si="492">AV29+BK29</f>
        <v>143409</v>
      </c>
      <c r="CA29" s="98">
        <f t="shared" si="492"/>
        <v>114326</v>
      </c>
      <c r="CB29" s="98">
        <f t="shared" si="492"/>
        <v>257735</v>
      </c>
      <c r="CC29" s="98">
        <f t="shared" si="492"/>
        <v>110444</v>
      </c>
      <c r="CD29" s="98">
        <f t="shared" si="492"/>
        <v>96877</v>
      </c>
      <c r="CE29" s="98">
        <f t="shared" si="492"/>
        <v>207321</v>
      </c>
      <c r="CF29" s="98">
        <f t="shared" si="492"/>
        <v>4062</v>
      </c>
      <c r="CG29" s="98">
        <f t="shared" si="492"/>
        <v>2410</v>
      </c>
      <c r="CH29" s="98">
        <f t="shared" si="492"/>
        <v>6472</v>
      </c>
      <c r="CI29" s="98">
        <f t="shared" si="492"/>
        <v>114506</v>
      </c>
      <c r="CJ29" s="98">
        <f t="shared" si="492"/>
        <v>99287</v>
      </c>
      <c r="CK29" s="98">
        <f t="shared" si="492"/>
        <v>213793</v>
      </c>
      <c r="CL29" s="116">
        <f>CI29/BZ29</f>
        <v>0.79845755845170108</v>
      </c>
      <c r="CM29" s="116">
        <f>CJ29/CA29</f>
        <v>0.86845511957035149</v>
      </c>
      <c r="CN29" s="116">
        <f>CK29/CB29</f>
        <v>0.82950705181678852</v>
      </c>
      <c r="CO29" s="99">
        <v>83241</v>
      </c>
      <c r="CP29" s="99">
        <v>66302</v>
      </c>
      <c r="CQ29" s="99">
        <f>+CO29+CP29</f>
        <v>149543</v>
      </c>
      <c r="CR29" s="99">
        <v>63430</v>
      </c>
      <c r="CS29" s="99">
        <v>54168</v>
      </c>
      <c r="CT29" s="99">
        <f>+CR29+CS29</f>
        <v>117598</v>
      </c>
      <c r="CU29" s="99">
        <v>1083</v>
      </c>
      <c r="CV29" s="99">
        <v>1653</v>
      </c>
      <c r="CW29" s="99">
        <f>+CU29+CV29</f>
        <v>2736</v>
      </c>
      <c r="CX29" s="99">
        <f>+CR29+CU29</f>
        <v>64513</v>
      </c>
      <c r="CY29" s="99">
        <f>+CS29+CV29</f>
        <v>55821</v>
      </c>
      <c r="CZ29" s="99">
        <f>+CT29+CW29</f>
        <v>120334</v>
      </c>
      <c r="DA29" s="116">
        <f>CX29/CO29</f>
        <v>0.77501471630566665</v>
      </c>
      <c r="DB29" s="116">
        <f>CY29/CP29</f>
        <v>0.84192030406322582</v>
      </c>
      <c r="DC29" s="116">
        <f>CZ29/CQ29</f>
        <v>0.80467825307771013</v>
      </c>
      <c r="DD29" s="98">
        <v>1560</v>
      </c>
      <c r="DE29" s="98">
        <v>695</v>
      </c>
      <c r="DF29" s="98">
        <f>DD29+DE29</f>
        <v>2255</v>
      </c>
      <c r="DG29" s="99">
        <v>684</v>
      </c>
      <c r="DH29" s="99">
        <v>383</v>
      </c>
      <c r="DI29" s="99">
        <f>+DG29+DH29</f>
        <v>1067</v>
      </c>
      <c r="DJ29" s="99">
        <v>71</v>
      </c>
      <c r="DK29" s="99">
        <v>33</v>
      </c>
      <c r="DL29" s="99">
        <f>DJ29+DK29</f>
        <v>104</v>
      </c>
      <c r="DM29" s="99">
        <f>+DG29+DJ29</f>
        <v>755</v>
      </c>
      <c r="DN29" s="99">
        <f>+DH29+DK29</f>
        <v>416</v>
      </c>
      <c r="DO29" s="99">
        <f>+DI29+DL29</f>
        <v>1171</v>
      </c>
      <c r="DP29" s="116">
        <f>DM29/DD29</f>
        <v>0.48397435897435898</v>
      </c>
      <c r="DQ29" s="116">
        <f>DN29/DE29</f>
        <v>0.59856115107913666</v>
      </c>
      <c r="DR29" s="116">
        <f>DO29/DF29</f>
        <v>0.51929046563192904</v>
      </c>
      <c r="DS29" s="98">
        <f t="shared" ref="DS29:ED29" si="493">CO29+DD29</f>
        <v>84801</v>
      </c>
      <c r="DT29" s="98">
        <f t="shared" si="493"/>
        <v>66997</v>
      </c>
      <c r="DU29" s="98">
        <f t="shared" si="493"/>
        <v>151798</v>
      </c>
      <c r="DV29" s="98">
        <f t="shared" si="493"/>
        <v>64114</v>
      </c>
      <c r="DW29" s="98">
        <f t="shared" si="493"/>
        <v>54551</v>
      </c>
      <c r="DX29" s="98">
        <f t="shared" si="493"/>
        <v>118665</v>
      </c>
      <c r="DY29" s="98">
        <f t="shared" si="493"/>
        <v>1154</v>
      </c>
      <c r="DZ29" s="98">
        <f t="shared" si="493"/>
        <v>1686</v>
      </c>
      <c r="EA29" s="98">
        <f t="shared" si="493"/>
        <v>2840</v>
      </c>
      <c r="EB29" s="98">
        <f t="shared" si="493"/>
        <v>65268</v>
      </c>
      <c r="EC29" s="98">
        <f t="shared" si="493"/>
        <v>56237</v>
      </c>
      <c r="ED29" s="98">
        <f t="shared" si="493"/>
        <v>121505</v>
      </c>
      <c r="EE29" s="116">
        <f>EB29/DS29</f>
        <v>0.76966073513284039</v>
      </c>
      <c r="EF29" s="116">
        <f>EC29/DT29</f>
        <v>0.8393957938415153</v>
      </c>
      <c r="EG29" s="116">
        <f>ED29/DU29</f>
        <v>0.80043874095837886</v>
      </c>
      <c r="EH29" s="98">
        <f>+AP29</f>
        <v>834400</v>
      </c>
      <c r="EI29" s="98">
        <f>+AQ29</f>
        <v>702634</v>
      </c>
      <c r="EJ29" s="98">
        <f>+AR29</f>
        <v>1537034</v>
      </c>
      <c r="EK29" s="98">
        <v>445593</v>
      </c>
      <c r="EL29" s="98">
        <v>452596</v>
      </c>
      <c r="EM29" s="98">
        <f>EK29+EL29</f>
        <v>898189</v>
      </c>
      <c r="EN29" s="100">
        <f>+EK29*100/EH29</f>
        <v>53.402804410354747</v>
      </c>
      <c r="EO29" s="100">
        <f>+EL29*100/EI29</f>
        <v>64.414190033502507</v>
      </c>
      <c r="EP29" s="100">
        <f>+EM29*100/EJ29</f>
        <v>58.436508235992179</v>
      </c>
      <c r="EQ29" s="98">
        <f>+CI29</f>
        <v>114506</v>
      </c>
      <c r="ER29" s="98">
        <f>+CJ29</f>
        <v>99287</v>
      </c>
      <c r="ES29" s="98">
        <f>+CK29</f>
        <v>213793</v>
      </c>
      <c r="ET29" s="98">
        <v>50994</v>
      </c>
      <c r="EU29" s="98">
        <v>55163</v>
      </c>
      <c r="EV29" s="98">
        <f>ET29+EU29</f>
        <v>106157</v>
      </c>
      <c r="EW29" s="100">
        <f>+ET29*100/EQ29</f>
        <v>44.53391088676576</v>
      </c>
      <c r="EX29" s="100">
        <f>+EU29*100/ER29</f>
        <v>55.559136644273671</v>
      </c>
      <c r="EY29" s="100">
        <f>+EV29*100/ES29</f>
        <v>49.654104671340967</v>
      </c>
      <c r="EZ29" s="98">
        <f>+EB29</f>
        <v>65268</v>
      </c>
      <c r="FA29" s="98">
        <f>+EC29</f>
        <v>56237</v>
      </c>
      <c r="FB29" s="98">
        <f>+ED29</f>
        <v>121505</v>
      </c>
      <c r="FC29" s="98">
        <v>27132</v>
      </c>
      <c r="FD29" s="98">
        <v>26310</v>
      </c>
      <c r="FE29" s="98">
        <f>FC29+FD29</f>
        <v>53442</v>
      </c>
      <c r="FF29" s="100">
        <f>+FC29*100/EZ29</f>
        <v>41.570141570141573</v>
      </c>
      <c r="FG29" s="100">
        <f>+FD29*100/FA29</f>
        <v>46.784145669221331</v>
      </c>
      <c r="FH29" s="100">
        <f>+FE29*100/FB29</f>
        <v>43.983375169746104</v>
      </c>
    </row>
    <row r="30" spans="1:164" ht="27" customHeight="1" x14ac:dyDescent="0.25">
      <c r="A30" s="94">
        <v>21</v>
      </c>
      <c r="B30" s="118" t="s">
        <v>155</v>
      </c>
      <c r="C30" s="96">
        <v>429145</v>
      </c>
      <c r="D30" s="96">
        <v>365929</v>
      </c>
      <c r="E30" s="96">
        <f t="shared" si="182"/>
        <v>795074</v>
      </c>
      <c r="F30" s="96">
        <v>207979</v>
      </c>
      <c r="G30" s="96">
        <v>188015</v>
      </c>
      <c r="H30" s="96">
        <f t="shared" si="183"/>
        <v>395994</v>
      </c>
      <c r="I30" s="96">
        <v>62637</v>
      </c>
      <c r="J30" s="96">
        <v>61994</v>
      </c>
      <c r="K30" s="96">
        <f t="shared" si="443"/>
        <v>124631</v>
      </c>
      <c r="L30" s="97">
        <f t="shared" si="460"/>
        <v>270616</v>
      </c>
      <c r="M30" s="98">
        <f t="shared" si="461"/>
        <v>250009</v>
      </c>
      <c r="N30" s="98">
        <f t="shared" si="462"/>
        <v>520625</v>
      </c>
      <c r="O30" s="116">
        <f t="shared" si="187"/>
        <v>0.63059338918081298</v>
      </c>
      <c r="P30" s="116">
        <f t="shared" si="188"/>
        <v>0.68321723613050622</v>
      </c>
      <c r="Q30" s="116">
        <f t="shared" si="189"/>
        <v>0.65481326266485884</v>
      </c>
      <c r="R30" s="98">
        <v>184192</v>
      </c>
      <c r="S30" s="98">
        <v>130125</v>
      </c>
      <c r="T30" s="98">
        <f t="shared" si="478"/>
        <v>314317</v>
      </c>
      <c r="U30" s="98">
        <v>19827</v>
      </c>
      <c r="V30" s="98">
        <v>13154</v>
      </c>
      <c r="W30" s="98">
        <f t="shared" si="258"/>
        <v>32981</v>
      </c>
      <c r="X30" s="98">
        <v>19999</v>
      </c>
      <c r="Y30" s="98">
        <v>17113</v>
      </c>
      <c r="Z30" s="98">
        <f t="shared" si="483"/>
        <v>37112</v>
      </c>
      <c r="AA30" s="98">
        <f t="shared" si="259"/>
        <v>39826</v>
      </c>
      <c r="AB30" s="98">
        <f t="shared" si="260"/>
        <v>30267</v>
      </c>
      <c r="AC30" s="98">
        <f t="shared" si="261"/>
        <v>70093</v>
      </c>
      <c r="AD30" s="116">
        <f t="shared" si="479"/>
        <v>0.21622003127171646</v>
      </c>
      <c r="AE30" s="116">
        <f t="shared" si="480"/>
        <v>0.23259942363112393</v>
      </c>
      <c r="AF30" s="116">
        <f t="shared" si="481"/>
        <v>0.22300098308395663</v>
      </c>
      <c r="AG30" s="98">
        <f t="shared" si="190"/>
        <v>613337</v>
      </c>
      <c r="AH30" s="98">
        <f t="shared" si="191"/>
        <v>496054</v>
      </c>
      <c r="AI30" s="98">
        <f t="shared" si="191"/>
        <v>1109391</v>
      </c>
      <c r="AJ30" s="98">
        <f t="shared" si="193"/>
        <v>227806</v>
      </c>
      <c r="AK30" s="98">
        <f t="shared" si="194"/>
        <v>201169</v>
      </c>
      <c r="AL30" s="98">
        <f t="shared" si="194"/>
        <v>428975</v>
      </c>
      <c r="AM30" s="98">
        <f t="shared" si="447"/>
        <v>82636</v>
      </c>
      <c r="AN30" s="98">
        <f t="shared" si="265"/>
        <v>79107</v>
      </c>
      <c r="AO30" s="98">
        <f t="shared" si="265"/>
        <v>161743</v>
      </c>
      <c r="AP30" s="98">
        <f t="shared" si="195"/>
        <v>310442</v>
      </c>
      <c r="AQ30" s="98">
        <f t="shared" si="196"/>
        <v>280276</v>
      </c>
      <c r="AR30" s="98">
        <f t="shared" si="196"/>
        <v>590718</v>
      </c>
      <c r="AS30" s="116">
        <f t="shared" si="197"/>
        <v>0.50615240887146873</v>
      </c>
      <c r="AT30" s="116">
        <f t="shared" si="198"/>
        <v>0.56501106734347473</v>
      </c>
      <c r="AU30" s="116">
        <f t="shared" si="199"/>
        <v>0.53247051760830943</v>
      </c>
      <c r="AV30" s="99">
        <v>77057</v>
      </c>
      <c r="AW30" s="99">
        <v>58109</v>
      </c>
      <c r="AX30" s="99">
        <f t="shared" si="200"/>
        <v>135166</v>
      </c>
      <c r="AY30" s="99">
        <v>33398</v>
      </c>
      <c r="AZ30" s="99">
        <v>26185</v>
      </c>
      <c r="BA30" s="99">
        <f t="shared" si="201"/>
        <v>59583</v>
      </c>
      <c r="BB30" s="99">
        <v>11212</v>
      </c>
      <c r="BC30" s="99">
        <v>10359</v>
      </c>
      <c r="BD30" s="99">
        <f t="shared" si="448"/>
        <v>21571</v>
      </c>
      <c r="BE30" s="99">
        <f t="shared" si="202"/>
        <v>44610</v>
      </c>
      <c r="BF30" s="99">
        <f t="shared" si="203"/>
        <v>36544</v>
      </c>
      <c r="BG30" s="99">
        <f t="shared" si="203"/>
        <v>81154</v>
      </c>
      <c r="BH30" s="116">
        <f t="shared" si="205"/>
        <v>0.57892209662976757</v>
      </c>
      <c r="BI30" s="116">
        <f t="shared" si="206"/>
        <v>0.62888709150045607</v>
      </c>
      <c r="BJ30" s="116">
        <f t="shared" si="207"/>
        <v>0.60040246807629138</v>
      </c>
      <c r="BK30" s="95">
        <v>37649</v>
      </c>
      <c r="BL30" s="95">
        <v>26543</v>
      </c>
      <c r="BM30" s="98">
        <f t="shared" si="266"/>
        <v>64192</v>
      </c>
      <c r="BN30" s="99">
        <v>3903</v>
      </c>
      <c r="BO30" s="99">
        <v>2486</v>
      </c>
      <c r="BP30" s="99">
        <f t="shared" si="267"/>
        <v>6389</v>
      </c>
      <c r="BQ30" s="99">
        <v>3968</v>
      </c>
      <c r="BR30" s="99">
        <v>3369</v>
      </c>
      <c r="BS30" s="99">
        <f t="shared" si="484"/>
        <v>7337</v>
      </c>
      <c r="BT30" s="99">
        <f t="shared" si="485"/>
        <v>7871</v>
      </c>
      <c r="BU30" s="99">
        <f t="shared" si="486"/>
        <v>5855</v>
      </c>
      <c r="BV30" s="99">
        <f t="shared" si="487"/>
        <v>13726</v>
      </c>
      <c r="BW30" s="116">
        <f t="shared" si="270"/>
        <v>0.20906265770671201</v>
      </c>
      <c r="BX30" s="116">
        <f t="shared" si="271"/>
        <v>0.22058546509437515</v>
      </c>
      <c r="BY30" s="116">
        <f t="shared" si="272"/>
        <v>0.21382726819541376</v>
      </c>
      <c r="BZ30" s="98">
        <f t="shared" si="463"/>
        <v>114706</v>
      </c>
      <c r="CA30" s="98">
        <f t="shared" si="464"/>
        <v>84652</v>
      </c>
      <c r="CB30" s="98">
        <f t="shared" si="465"/>
        <v>199358</v>
      </c>
      <c r="CC30" s="98">
        <f t="shared" si="211"/>
        <v>37301</v>
      </c>
      <c r="CD30" s="98">
        <f t="shared" si="212"/>
        <v>28671</v>
      </c>
      <c r="CE30" s="98">
        <f t="shared" si="213"/>
        <v>65972</v>
      </c>
      <c r="CF30" s="98">
        <f t="shared" si="449"/>
        <v>15180</v>
      </c>
      <c r="CG30" s="98">
        <f t="shared" si="450"/>
        <v>13728</v>
      </c>
      <c r="CH30" s="98">
        <f t="shared" si="451"/>
        <v>28908</v>
      </c>
      <c r="CI30" s="98">
        <f t="shared" si="466"/>
        <v>52481</v>
      </c>
      <c r="CJ30" s="98">
        <f t="shared" si="467"/>
        <v>42399</v>
      </c>
      <c r="CK30" s="98">
        <f t="shared" si="468"/>
        <v>94880</v>
      </c>
      <c r="CL30" s="116">
        <f t="shared" si="454"/>
        <v>0.45752619740902828</v>
      </c>
      <c r="CM30" s="116">
        <f>CJ30/CA30</f>
        <v>0.50086235410858571</v>
      </c>
      <c r="CN30" s="116">
        <f t="shared" si="219"/>
        <v>0.47592772800690214</v>
      </c>
      <c r="CO30" s="99">
        <v>56150</v>
      </c>
      <c r="CP30" s="99">
        <v>58366</v>
      </c>
      <c r="CQ30" s="99">
        <f t="shared" si="220"/>
        <v>114516</v>
      </c>
      <c r="CR30" s="99">
        <v>24925</v>
      </c>
      <c r="CS30" s="99">
        <v>23675</v>
      </c>
      <c r="CT30" s="99">
        <f t="shared" si="221"/>
        <v>48600</v>
      </c>
      <c r="CU30" s="99">
        <v>8174</v>
      </c>
      <c r="CV30" s="98">
        <v>9909</v>
      </c>
      <c r="CW30" s="99">
        <f t="shared" si="455"/>
        <v>18083</v>
      </c>
      <c r="CX30" s="99">
        <f t="shared" si="222"/>
        <v>33099</v>
      </c>
      <c r="CY30" s="99">
        <f t="shared" si="223"/>
        <v>33584</v>
      </c>
      <c r="CZ30" s="99">
        <f t="shared" si="223"/>
        <v>66683</v>
      </c>
      <c r="DA30" s="116">
        <f t="shared" si="273"/>
        <v>0.58947462154942121</v>
      </c>
      <c r="DB30" s="116">
        <f t="shared" si="225"/>
        <v>0.57540348833224819</v>
      </c>
      <c r="DC30" s="116">
        <f t="shared" si="226"/>
        <v>0.58230290963708131</v>
      </c>
      <c r="DD30" s="95">
        <v>41680</v>
      </c>
      <c r="DE30" s="95">
        <v>33256</v>
      </c>
      <c r="DF30" s="98">
        <f t="shared" si="274"/>
        <v>74936</v>
      </c>
      <c r="DG30" s="99">
        <v>3927</v>
      </c>
      <c r="DH30" s="99">
        <v>2839</v>
      </c>
      <c r="DI30" s="99">
        <f t="shared" si="275"/>
        <v>6766</v>
      </c>
      <c r="DJ30" s="99">
        <v>3975</v>
      </c>
      <c r="DK30" s="99">
        <v>3548</v>
      </c>
      <c r="DL30" s="99">
        <f t="shared" si="488"/>
        <v>7523</v>
      </c>
      <c r="DM30" s="99">
        <f t="shared" si="276"/>
        <v>7902</v>
      </c>
      <c r="DN30" s="99">
        <f t="shared" si="277"/>
        <v>6387</v>
      </c>
      <c r="DO30" s="99">
        <f t="shared" si="277"/>
        <v>14289</v>
      </c>
      <c r="DP30" s="116">
        <f t="shared" si="279"/>
        <v>0.18958733205374281</v>
      </c>
      <c r="DQ30" s="116">
        <f t="shared" si="280"/>
        <v>0.19205556891989414</v>
      </c>
      <c r="DR30" s="116">
        <f t="shared" si="281"/>
        <v>0.19068271591758301</v>
      </c>
      <c r="DS30" s="98">
        <f t="shared" ref="DS30" si="494">CO30+DD30</f>
        <v>97830</v>
      </c>
      <c r="DT30" s="98">
        <f t="shared" ref="DT30" si="495">CP30+DE30</f>
        <v>91622</v>
      </c>
      <c r="DU30" s="98">
        <f t="shared" ref="DU30" si="496">CQ30+DF30</f>
        <v>189452</v>
      </c>
      <c r="DV30" s="98">
        <f t="shared" ref="DV30" si="497">CR30+DG30</f>
        <v>28852</v>
      </c>
      <c r="DW30" s="98">
        <f t="shared" ref="DW30" si="498">CS30+DH30</f>
        <v>26514</v>
      </c>
      <c r="DX30" s="98">
        <f t="shared" ref="DX30" si="499">CT30+DI30</f>
        <v>55366</v>
      </c>
      <c r="DY30" s="98">
        <f t="shared" ref="DY30" si="500">CU30+DJ30</f>
        <v>12149</v>
      </c>
      <c r="DZ30" s="98">
        <f t="shared" ref="DZ30" si="501">CV30+DK30</f>
        <v>13457</v>
      </c>
      <c r="EA30" s="98">
        <f t="shared" ref="EA30" si="502">CW30+DL30</f>
        <v>25606</v>
      </c>
      <c r="EB30" s="98">
        <f t="shared" ref="EB30" si="503">CX30+DM30</f>
        <v>41001</v>
      </c>
      <c r="EC30" s="98">
        <f t="shared" ref="EC30" si="504">CY30+DN30</f>
        <v>39971</v>
      </c>
      <c r="ED30" s="98">
        <f t="shared" ref="ED30" si="505">CZ30+DO30</f>
        <v>80972</v>
      </c>
      <c r="EE30" s="116">
        <f t="shared" si="459"/>
        <v>0.41910456915056732</v>
      </c>
      <c r="EF30" s="116">
        <f t="shared" si="236"/>
        <v>0.43625985025430575</v>
      </c>
      <c r="EG30" s="116">
        <f t="shared" si="237"/>
        <v>0.42740113590777612</v>
      </c>
      <c r="EH30" s="98">
        <f t="shared" si="238"/>
        <v>310442</v>
      </c>
      <c r="EI30" s="98">
        <f t="shared" si="239"/>
        <v>280276</v>
      </c>
      <c r="EJ30" s="98">
        <f t="shared" si="239"/>
        <v>590718</v>
      </c>
      <c r="EK30" s="101">
        <v>107790</v>
      </c>
      <c r="EL30" s="101">
        <v>104394</v>
      </c>
      <c r="EM30" s="98">
        <f t="shared" si="241"/>
        <v>212184</v>
      </c>
      <c r="EN30" s="100">
        <f t="shared" si="470"/>
        <v>34.721461657894231</v>
      </c>
      <c r="EO30" s="100">
        <f t="shared" si="471"/>
        <v>37.246856669854004</v>
      </c>
      <c r="EP30" s="100">
        <f t="shared" si="472"/>
        <v>35.919677409525356</v>
      </c>
      <c r="EQ30" s="98">
        <f t="shared" si="245"/>
        <v>52481</v>
      </c>
      <c r="ER30" s="98">
        <f t="shared" si="246"/>
        <v>42399</v>
      </c>
      <c r="ES30" s="98">
        <f t="shared" si="246"/>
        <v>94880</v>
      </c>
      <c r="ET30" s="101">
        <v>15997</v>
      </c>
      <c r="EU30" s="101">
        <v>13136</v>
      </c>
      <c r="EV30" s="98">
        <f t="shared" si="248"/>
        <v>29133</v>
      </c>
      <c r="EW30" s="100">
        <f t="shared" si="473"/>
        <v>30.481507593224215</v>
      </c>
      <c r="EX30" s="100">
        <f t="shared" si="474"/>
        <v>30.981862779782542</v>
      </c>
      <c r="EY30" s="100">
        <f t="shared" si="474"/>
        <v>30.705101180438447</v>
      </c>
      <c r="EZ30" s="98">
        <f t="shared" si="252"/>
        <v>41001</v>
      </c>
      <c r="FA30" s="98">
        <f t="shared" si="253"/>
        <v>39971</v>
      </c>
      <c r="FB30" s="98">
        <f t="shared" si="253"/>
        <v>80972</v>
      </c>
      <c r="FC30" s="101">
        <v>9372</v>
      </c>
      <c r="FD30" s="101">
        <v>8340</v>
      </c>
      <c r="FE30" s="98">
        <f t="shared" si="255"/>
        <v>17712</v>
      </c>
      <c r="FF30" s="100">
        <f t="shared" si="475"/>
        <v>22.857979073681129</v>
      </c>
      <c r="FG30" s="100">
        <f t="shared" si="476"/>
        <v>20.865127217232494</v>
      </c>
      <c r="FH30" s="100">
        <f t="shared" si="477"/>
        <v>21.87422812824186</v>
      </c>
    </row>
    <row r="31" spans="1:164" ht="27" customHeight="1" x14ac:dyDescent="0.25">
      <c r="A31" s="94">
        <v>22</v>
      </c>
      <c r="B31" s="118" t="s">
        <v>141</v>
      </c>
      <c r="C31" s="96">
        <v>17374</v>
      </c>
      <c r="D31" s="96">
        <v>17774</v>
      </c>
      <c r="E31" s="96">
        <f>C31+D31</f>
        <v>35148</v>
      </c>
      <c r="F31" s="96">
        <v>11931</v>
      </c>
      <c r="G31" s="96">
        <v>11313</v>
      </c>
      <c r="H31" s="96">
        <f>F31+G31</f>
        <v>23244</v>
      </c>
      <c r="I31" s="96">
        <v>2057</v>
      </c>
      <c r="J31" s="96">
        <v>2319</v>
      </c>
      <c r="K31" s="96">
        <f>I31+J31</f>
        <v>4376</v>
      </c>
      <c r="L31" s="97">
        <f>F31+I31</f>
        <v>13988</v>
      </c>
      <c r="M31" s="98">
        <f>G31+J31</f>
        <v>13632</v>
      </c>
      <c r="N31" s="98">
        <f>H31+K31</f>
        <v>27620</v>
      </c>
      <c r="O31" s="116">
        <f>L31/C31</f>
        <v>0.80511108553010247</v>
      </c>
      <c r="P31" s="116">
        <f>M31/D31</f>
        <v>0.76696297963317206</v>
      </c>
      <c r="Q31" s="116">
        <f>N31/E31</f>
        <v>0.78581996130647547</v>
      </c>
      <c r="R31" s="98">
        <v>25</v>
      </c>
      <c r="S31" s="98">
        <v>13</v>
      </c>
      <c r="T31" s="98">
        <f>R31+S31</f>
        <v>38</v>
      </c>
      <c r="U31" s="98">
        <v>7</v>
      </c>
      <c r="V31" s="98">
        <v>4</v>
      </c>
      <c r="W31" s="98">
        <f>U31+V31</f>
        <v>11</v>
      </c>
      <c r="X31" s="98">
        <v>1</v>
      </c>
      <c r="Y31" s="98">
        <v>0</v>
      </c>
      <c r="Z31" s="98">
        <f>X31+Y31</f>
        <v>1</v>
      </c>
      <c r="AA31" s="98">
        <f>U31+X31</f>
        <v>8</v>
      </c>
      <c r="AB31" s="98">
        <f>V31+Y31</f>
        <v>4</v>
      </c>
      <c r="AC31" s="98">
        <f>W31+Z31</f>
        <v>12</v>
      </c>
      <c r="AD31" s="116">
        <f t="shared" ref="AD31" si="506">AA31/R31</f>
        <v>0.32</v>
      </c>
      <c r="AE31" s="116">
        <f t="shared" ref="AE31" si="507">AB31/S31</f>
        <v>0.30769230769230771</v>
      </c>
      <c r="AF31" s="116">
        <f>AC31/T31</f>
        <v>0.31578947368421051</v>
      </c>
      <c r="AG31" s="98">
        <f t="shared" ref="AG31:AR31" si="508">C31+R31</f>
        <v>17399</v>
      </c>
      <c r="AH31" s="98">
        <f t="shared" si="508"/>
        <v>17787</v>
      </c>
      <c r="AI31" s="98">
        <f t="shared" si="508"/>
        <v>35186</v>
      </c>
      <c r="AJ31" s="98">
        <f t="shared" si="508"/>
        <v>11938</v>
      </c>
      <c r="AK31" s="98">
        <f t="shared" si="508"/>
        <v>11317</v>
      </c>
      <c r="AL31" s="98">
        <f t="shared" si="508"/>
        <v>23255</v>
      </c>
      <c r="AM31" s="98">
        <f t="shared" si="508"/>
        <v>2058</v>
      </c>
      <c r="AN31" s="98">
        <f t="shared" si="508"/>
        <v>2319</v>
      </c>
      <c r="AO31" s="98">
        <f t="shared" si="508"/>
        <v>4377</v>
      </c>
      <c r="AP31" s="98">
        <f t="shared" si="508"/>
        <v>13996</v>
      </c>
      <c r="AQ31" s="98">
        <f t="shared" si="508"/>
        <v>13636</v>
      </c>
      <c r="AR31" s="98">
        <f t="shared" si="508"/>
        <v>27632</v>
      </c>
      <c r="AS31" s="116">
        <f>AP31/AG31</f>
        <v>0.80441404678429795</v>
      </c>
      <c r="AT31" s="116">
        <f>AQ31/AH31</f>
        <v>0.76662731208185753</v>
      </c>
      <c r="AU31" s="116">
        <f>AR31/AI31</f>
        <v>0.78531234013528106</v>
      </c>
      <c r="AV31" s="99">
        <v>625</v>
      </c>
      <c r="AW31" s="99">
        <v>729</v>
      </c>
      <c r="AX31" s="99">
        <f>+AV31+AW31</f>
        <v>1354</v>
      </c>
      <c r="AY31" s="99">
        <v>449</v>
      </c>
      <c r="AZ31" s="99">
        <v>513</v>
      </c>
      <c r="BA31" s="99">
        <f>+AY31+AZ31</f>
        <v>962</v>
      </c>
      <c r="BB31" s="99">
        <v>67</v>
      </c>
      <c r="BC31" s="99">
        <v>67</v>
      </c>
      <c r="BD31" s="99">
        <f>+BB31+BC31</f>
        <v>134</v>
      </c>
      <c r="BE31" s="99">
        <f>+AY31+BB31</f>
        <v>516</v>
      </c>
      <c r="BF31" s="99">
        <f>+AZ31+BC31</f>
        <v>580</v>
      </c>
      <c r="BG31" s="99">
        <f>+BA31+BD31</f>
        <v>1096</v>
      </c>
      <c r="BH31" s="116">
        <f>BE31/AV31</f>
        <v>0.8256</v>
      </c>
      <c r="BI31" s="116">
        <f>BF31/AW31</f>
        <v>0.79561042524005487</v>
      </c>
      <c r="BJ31" s="116">
        <f>BG31/AX31</f>
        <v>0.80945347119645494</v>
      </c>
      <c r="BK31" s="98">
        <v>1</v>
      </c>
      <c r="BL31" s="98">
        <v>0</v>
      </c>
      <c r="BM31" s="98">
        <f>BK31+BL31</f>
        <v>1</v>
      </c>
      <c r="BN31" s="99">
        <v>0</v>
      </c>
      <c r="BO31" s="99">
        <v>0</v>
      </c>
      <c r="BP31" s="99">
        <f>BN31+BO31</f>
        <v>0</v>
      </c>
      <c r="BQ31" s="99">
        <v>0</v>
      </c>
      <c r="BR31" s="99">
        <v>0</v>
      </c>
      <c r="BS31" s="99">
        <f>BQ31+BR31</f>
        <v>0</v>
      </c>
      <c r="BT31" s="99">
        <f>+BN31+BQ31</f>
        <v>0</v>
      </c>
      <c r="BU31" s="99">
        <f>+BO31+BR31</f>
        <v>0</v>
      </c>
      <c r="BV31" s="99">
        <f>+BP31+BS31</f>
        <v>0</v>
      </c>
      <c r="BW31" s="116">
        <f>BT31/BK31</f>
        <v>0</v>
      </c>
      <c r="BX31" s="116"/>
      <c r="BY31" s="116">
        <f>BV31/BM31</f>
        <v>0</v>
      </c>
      <c r="BZ31" s="98">
        <f t="shared" ref="BZ31:CH31" si="509">AV31+BK31</f>
        <v>626</v>
      </c>
      <c r="CA31" s="98">
        <f t="shared" si="509"/>
        <v>729</v>
      </c>
      <c r="CB31" s="98">
        <f t="shared" si="509"/>
        <v>1355</v>
      </c>
      <c r="CC31" s="98">
        <f t="shared" si="509"/>
        <v>449</v>
      </c>
      <c r="CD31" s="98">
        <f t="shared" si="509"/>
        <v>513</v>
      </c>
      <c r="CE31" s="98">
        <f t="shared" si="509"/>
        <v>962</v>
      </c>
      <c r="CF31" s="98">
        <f t="shared" si="509"/>
        <v>67</v>
      </c>
      <c r="CG31" s="98">
        <f t="shared" si="509"/>
        <v>67</v>
      </c>
      <c r="CH31" s="98">
        <f t="shared" si="509"/>
        <v>134</v>
      </c>
      <c r="CI31" s="98">
        <f t="shared" ref="CI31" si="510">BE31+BT31</f>
        <v>516</v>
      </c>
      <c r="CJ31" s="98">
        <f t="shared" ref="CJ31" si="511">BF31+BU31</f>
        <v>580</v>
      </c>
      <c r="CK31" s="98">
        <f t="shared" ref="CK31" si="512">BG31+BV31</f>
        <v>1096</v>
      </c>
      <c r="CL31" s="116">
        <f>CI31/BZ31</f>
        <v>0.82428115015974446</v>
      </c>
      <c r="CM31" s="116">
        <f>CJ31/CA31</f>
        <v>0.79561042524005487</v>
      </c>
      <c r="CN31" s="116">
        <f>CK31/CB31</f>
        <v>0.80885608856088564</v>
      </c>
      <c r="CO31" s="99">
        <v>6771</v>
      </c>
      <c r="CP31" s="99">
        <v>7070</v>
      </c>
      <c r="CQ31" s="99">
        <f>+CO31+CP31</f>
        <v>13841</v>
      </c>
      <c r="CR31" s="99">
        <v>4549</v>
      </c>
      <c r="CS31" s="99">
        <v>4327</v>
      </c>
      <c r="CT31" s="99">
        <f>+CR31+CS31</f>
        <v>8876</v>
      </c>
      <c r="CU31" s="99">
        <v>922</v>
      </c>
      <c r="CV31" s="99">
        <v>1058</v>
      </c>
      <c r="CW31" s="99">
        <f>+CU31+CV31</f>
        <v>1980</v>
      </c>
      <c r="CX31" s="99">
        <f>+CR31+CU31</f>
        <v>5471</v>
      </c>
      <c r="CY31" s="99">
        <f>+CS31+CV31</f>
        <v>5385</v>
      </c>
      <c r="CZ31" s="99">
        <f>+CT31+CW31</f>
        <v>10856</v>
      </c>
      <c r="DA31" s="116">
        <f>CX31/CO31</f>
        <v>0.80800472603751294</v>
      </c>
      <c r="DB31" s="116">
        <f>CY31/CP31</f>
        <v>0.76166902404526171</v>
      </c>
      <c r="DC31" s="116">
        <f>CZ31/CQ31</f>
        <v>0.78433639187919946</v>
      </c>
      <c r="DD31" s="98">
        <v>5</v>
      </c>
      <c r="DE31" s="98">
        <v>3</v>
      </c>
      <c r="DF31" s="98">
        <f>DD31+DE31</f>
        <v>8</v>
      </c>
      <c r="DG31" s="99">
        <v>1</v>
      </c>
      <c r="DH31" s="99">
        <v>1</v>
      </c>
      <c r="DI31" s="99">
        <f>+DG31+DH31</f>
        <v>2</v>
      </c>
      <c r="DJ31" s="99">
        <v>0</v>
      </c>
      <c r="DK31" s="99">
        <v>0</v>
      </c>
      <c r="DL31" s="99">
        <f>DJ31+DK31</f>
        <v>0</v>
      </c>
      <c r="DM31" s="99">
        <f>+DG31+DJ31</f>
        <v>1</v>
      </c>
      <c r="DN31" s="99">
        <f>+DH31+DK31</f>
        <v>1</v>
      </c>
      <c r="DO31" s="99">
        <f>+DI31+DL31</f>
        <v>2</v>
      </c>
      <c r="DP31" s="116">
        <f>DM31/DD31</f>
        <v>0.2</v>
      </c>
      <c r="DQ31" s="116">
        <f>DN31/DE31</f>
        <v>0.33333333333333331</v>
      </c>
      <c r="DR31" s="116">
        <f>DO31/DF31</f>
        <v>0.25</v>
      </c>
      <c r="DS31" s="98">
        <f t="shared" ref="DS31:ED31" si="513">CO31+DD31</f>
        <v>6776</v>
      </c>
      <c r="DT31" s="98">
        <f t="shared" si="513"/>
        <v>7073</v>
      </c>
      <c r="DU31" s="98">
        <f t="shared" si="513"/>
        <v>13849</v>
      </c>
      <c r="DV31" s="98">
        <f t="shared" si="513"/>
        <v>4550</v>
      </c>
      <c r="DW31" s="98">
        <f t="shared" si="513"/>
        <v>4328</v>
      </c>
      <c r="DX31" s="98">
        <f t="shared" si="513"/>
        <v>8878</v>
      </c>
      <c r="DY31" s="98">
        <f t="shared" si="513"/>
        <v>922</v>
      </c>
      <c r="DZ31" s="98">
        <f t="shared" si="513"/>
        <v>1058</v>
      </c>
      <c r="EA31" s="98">
        <f t="shared" si="513"/>
        <v>1980</v>
      </c>
      <c r="EB31" s="98">
        <f t="shared" si="513"/>
        <v>5472</v>
      </c>
      <c r="EC31" s="98">
        <f t="shared" si="513"/>
        <v>5386</v>
      </c>
      <c r="ED31" s="98">
        <f t="shared" si="513"/>
        <v>10858</v>
      </c>
      <c r="EE31" s="116">
        <f>EB31/DS31</f>
        <v>0.80755608028335302</v>
      </c>
      <c r="EF31" s="116">
        <f>EC31/DT31</f>
        <v>0.76148734624628867</v>
      </c>
      <c r="EG31" s="116">
        <f>ED31/DU31</f>
        <v>0.78402772763376416</v>
      </c>
      <c r="EH31" s="98">
        <f>+AP31</f>
        <v>13996</v>
      </c>
      <c r="EI31" s="98">
        <f>+AQ31</f>
        <v>13636</v>
      </c>
      <c r="EJ31" s="98">
        <f>+AR31</f>
        <v>27632</v>
      </c>
      <c r="EK31" s="98">
        <v>486</v>
      </c>
      <c r="EL31" s="98">
        <v>473</v>
      </c>
      <c r="EM31" s="98">
        <f>EK31+EL31</f>
        <v>959</v>
      </c>
      <c r="EN31" s="100">
        <f>+EK31*100/EH31</f>
        <v>3.4724206916261791</v>
      </c>
      <c r="EO31" s="100">
        <f>+EL31*100/EI31</f>
        <v>3.4687591669111177</v>
      </c>
      <c r="EP31" s="100">
        <f>+EM31*100/EJ31</f>
        <v>3.4706137811233351</v>
      </c>
      <c r="EQ31" s="98">
        <f>+CI31</f>
        <v>516</v>
      </c>
      <c r="ER31" s="98">
        <f>+CJ31</f>
        <v>580</v>
      </c>
      <c r="ES31" s="98">
        <f>+CK31</f>
        <v>1096</v>
      </c>
      <c r="ET31" s="98">
        <v>20</v>
      </c>
      <c r="EU31" s="98">
        <v>38</v>
      </c>
      <c r="EV31" s="98">
        <f>ET31+EU31</f>
        <v>58</v>
      </c>
      <c r="EW31" s="100">
        <f>+ET31*100/EQ31</f>
        <v>3.8759689922480618</v>
      </c>
      <c r="EX31" s="100">
        <f>+EU31*100/ER31</f>
        <v>6.5517241379310347</v>
      </c>
      <c r="EY31" s="100">
        <f>+EV31*100/ES31</f>
        <v>5.2919708029197077</v>
      </c>
      <c r="EZ31" s="98">
        <f>+EB31</f>
        <v>5472</v>
      </c>
      <c r="FA31" s="98">
        <f>+EC31</f>
        <v>5386</v>
      </c>
      <c r="FB31" s="98">
        <f>+ED31</f>
        <v>10858</v>
      </c>
      <c r="FC31" s="98">
        <v>85</v>
      </c>
      <c r="FD31" s="98">
        <v>81</v>
      </c>
      <c r="FE31" s="98">
        <f>FC31+FD31</f>
        <v>166</v>
      </c>
      <c r="FF31" s="100">
        <f>+FC31*100/EZ31</f>
        <v>1.5533625730994152</v>
      </c>
      <c r="FG31" s="100">
        <f>+FD31*100/FA31</f>
        <v>1.5038989974006685</v>
      </c>
      <c r="FH31" s="100">
        <f>+FE31*100/FB31</f>
        <v>1.5288266715785597</v>
      </c>
    </row>
    <row r="32" spans="1:164" ht="27" customHeight="1" x14ac:dyDescent="0.25">
      <c r="A32" s="94">
        <v>23</v>
      </c>
      <c r="B32" s="118" t="s">
        <v>158</v>
      </c>
      <c r="C32" s="96">
        <v>16119</v>
      </c>
      <c r="D32" s="96">
        <v>19116</v>
      </c>
      <c r="E32" s="96">
        <f t="shared" si="182"/>
        <v>35235</v>
      </c>
      <c r="F32" s="96">
        <v>11240</v>
      </c>
      <c r="G32" s="96">
        <v>13046</v>
      </c>
      <c r="H32" s="96">
        <f t="shared" si="183"/>
        <v>24286</v>
      </c>
      <c r="I32" s="104"/>
      <c r="J32" s="104"/>
      <c r="K32" s="104"/>
      <c r="L32" s="97">
        <f t="shared" si="460"/>
        <v>11240</v>
      </c>
      <c r="M32" s="98">
        <f t="shared" si="461"/>
        <v>13046</v>
      </c>
      <c r="N32" s="98">
        <f t="shared" si="462"/>
        <v>24286</v>
      </c>
      <c r="O32" s="116">
        <f t="shared" si="187"/>
        <v>0.69731372913952483</v>
      </c>
      <c r="P32" s="116">
        <f t="shared" si="188"/>
        <v>0.6824649508265328</v>
      </c>
      <c r="Q32" s="116">
        <f t="shared" si="189"/>
        <v>0.68925784021569458</v>
      </c>
      <c r="R32" s="98">
        <v>7536</v>
      </c>
      <c r="S32" s="98">
        <v>8202</v>
      </c>
      <c r="T32" s="98">
        <f t="shared" si="478"/>
        <v>15738</v>
      </c>
      <c r="U32" s="98">
        <v>1449</v>
      </c>
      <c r="V32" s="98">
        <v>1823</v>
      </c>
      <c r="W32" s="98">
        <f t="shared" si="258"/>
        <v>3272</v>
      </c>
      <c r="X32" s="103"/>
      <c r="Y32" s="103"/>
      <c r="Z32" s="103"/>
      <c r="AA32" s="98">
        <f t="shared" si="259"/>
        <v>1449</v>
      </c>
      <c r="AB32" s="98">
        <f t="shared" si="260"/>
        <v>1823</v>
      </c>
      <c r="AC32" s="98">
        <f t="shared" si="261"/>
        <v>3272</v>
      </c>
      <c r="AD32" s="116">
        <f t="shared" ref="AD32:AD34" si="514">AA32/R32</f>
        <v>0.19227707006369427</v>
      </c>
      <c r="AE32" s="116">
        <f t="shared" ref="AE32:AE34" si="515">AB32/S32</f>
        <v>0.22226286271641063</v>
      </c>
      <c r="AF32" s="116">
        <f t="shared" si="481"/>
        <v>0.20790443512517473</v>
      </c>
      <c r="AG32" s="98">
        <f t="shared" si="190"/>
        <v>23655</v>
      </c>
      <c r="AH32" s="98">
        <f t="shared" si="191"/>
        <v>27318</v>
      </c>
      <c r="AI32" s="98">
        <f t="shared" si="191"/>
        <v>50973</v>
      </c>
      <c r="AJ32" s="98">
        <f t="shared" si="193"/>
        <v>12689</v>
      </c>
      <c r="AK32" s="98">
        <f t="shared" si="194"/>
        <v>14869</v>
      </c>
      <c r="AL32" s="98">
        <f t="shared" si="194"/>
        <v>27558</v>
      </c>
      <c r="AM32" s="103"/>
      <c r="AN32" s="103"/>
      <c r="AO32" s="103"/>
      <c r="AP32" s="98">
        <f t="shared" si="195"/>
        <v>12689</v>
      </c>
      <c r="AQ32" s="98">
        <f t="shared" si="196"/>
        <v>14869</v>
      </c>
      <c r="AR32" s="98">
        <f t="shared" si="196"/>
        <v>27558</v>
      </c>
      <c r="AS32" s="116">
        <f t="shared" si="197"/>
        <v>0.53641936165715498</v>
      </c>
      <c r="AT32" s="116">
        <f t="shared" si="198"/>
        <v>0.54429314005417673</v>
      </c>
      <c r="AU32" s="116">
        <f>AR32/AI32</f>
        <v>0.5406391619092461</v>
      </c>
      <c r="AV32" s="99">
        <v>125</v>
      </c>
      <c r="AW32" s="99">
        <v>141</v>
      </c>
      <c r="AX32" s="99">
        <f t="shared" si="200"/>
        <v>266</v>
      </c>
      <c r="AY32" s="99">
        <v>76</v>
      </c>
      <c r="AZ32" s="99">
        <v>95</v>
      </c>
      <c r="BA32" s="99">
        <f t="shared" si="201"/>
        <v>171</v>
      </c>
      <c r="BB32" s="104"/>
      <c r="BC32" s="104"/>
      <c r="BD32" s="104"/>
      <c r="BE32" s="99">
        <f t="shared" si="202"/>
        <v>76</v>
      </c>
      <c r="BF32" s="99">
        <f t="shared" si="203"/>
        <v>95</v>
      </c>
      <c r="BG32" s="99">
        <f t="shared" si="203"/>
        <v>171</v>
      </c>
      <c r="BH32" s="116">
        <f t="shared" si="205"/>
        <v>0.60799999999999998</v>
      </c>
      <c r="BI32" s="116">
        <f t="shared" si="206"/>
        <v>0.67375886524822692</v>
      </c>
      <c r="BJ32" s="116">
        <f t="shared" si="207"/>
        <v>0.6428571428571429</v>
      </c>
      <c r="BK32" s="98">
        <v>15</v>
      </c>
      <c r="BL32" s="98">
        <v>16</v>
      </c>
      <c r="BM32" s="98">
        <f t="shared" si="266"/>
        <v>31</v>
      </c>
      <c r="BN32" s="99">
        <v>4</v>
      </c>
      <c r="BO32" s="99">
        <v>12</v>
      </c>
      <c r="BP32" s="99">
        <f t="shared" si="267"/>
        <v>16</v>
      </c>
      <c r="BQ32" s="104"/>
      <c r="BR32" s="104"/>
      <c r="BS32" s="104"/>
      <c r="BT32" s="99">
        <f t="shared" si="482"/>
        <v>4</v>
      </c>
      <c r="BU32" s="99">
        <f t="shared" si="268"/>
        <v>12</v>
      </c>
      <c r="BV32" s="99">
        <f t="shared" si="268"/>
        <v>16</v>
      </c>
      <c r="BW32" s="116">
        <f t="shared" si="270"/>
        <v>0.26666666666666666</v>
      </c>
      <c r="BX32" s="116">
        <f t="shared" si="271"/>
        <v>0.75</v>
      </c>
      <c r="BY32" s="116">
        <f t="shared" si="272"/>
        <v>0.5161290322580645</v>
      </c>
      <c r="BZ32" s="98">
        <f t="shared" si="463"/>
        <v>140</v>
      </c>
      <c r="CA32" s="98">
        <f t="shared" si="464"/>
        <v>157</v>
      </c>
      <c r="CB32" s="98">
        <f t="shared" si="465"/>
        <v>297</v>
      </c>
      <c r="CC32" s="98">
        <f t="shared" si="211"/>
        <v>80</v>
      </c>
      <c r="CD32" s="98">
        <f t="shared" si="212"/>
        <v>107</v>
      </c>
      <c r="CE32" s="98">
        <f t="shared" si="213"/>
        <v>187</v>
      </c>
      <c r="CF32" s="103"/>
      <c r="CG32" s="103"/>
      <c r="CH32" s="103"/>
      <c r="CI32" s="98">
        <f t="shared" ref="CI32:CI36" si="516">BE32+BT32</f>
        <v>80</v>
      </c>
      <c r="CJ32" s="98">
        <f t="shared" ref="CJ32:CJ36" si="517">BF32+BU32</f>
        <v>107</v>
      </c>
      <c r="CK32" s="98">
        <f t="shared" ref="CK32:CK36" si="518">BG32+BV32</f>
        <v>187</v>
      </c>
      <c r="CL32" s="116">
        <f t="shared" si="454"/>
        <v>0.5714285714285714</v>
      </c>
      <c r="CM32" s="116">
        <f t="shared" si="218"/>
        <v>0.68152866242038213</v>
      </c>
      <c r="CN32" s="116">
        <f t="shared" si="219"/>
        <v>0.62962962962962965</v>
      </c>
      <c r="CO32" s="99">
        <v>14310</v>
      </c>
      <c r="CP32" s="99">
        <v>17452</v>
      </c>
      <c r="CQ32" s="99">
        <f t="shared" si="220"/>
        <v>31762</v>
      </c>
      <c r="CR32" s="99">
        <v>9925</v>
      </c>
      <c r="CS32" s="99">
        <v>11851</v>
      </c>
      <c r="CT32" s="99">
        <f t="shared" si="221"/>
        <v>21776</v>
      </c>
      <c r="CU32" s="104"/>
      <c r="CV32" s="104"/>
      <c r="CW32" s="104"/>
      <c r="CX32" s="99">
        <f t="shared" si="222"/>
        <v>9925</v>
      </c>
      <c r="CY32" s="99">
        <f t="shared" si="223"/>
        <v>11851</v>
      </c>
      <c r="CZ32" s="99">
        <f t="shared" si="223"/>
        <v>21776</v>
      </c>
      <c r="DA32" s="116">
        <f t="shared" si="273"/>
        <v>0.69357092941998599</v>
      </c>
      <c r="DB32" s="116">
        <f t="shared" si="225"/>
        <v>0.6790625716250287</v>
      </c>
      <c r="DC32" s="116">
        <f t="shared" si="226"/>
        <v>0.68559914363075369</v>
      </c>
      <c r="DD32" s="98">
        <v>7379</v>
      </c>
      <c r="DE32" s="98">
        <v>8020</v>
      </c>
      <c r="DF32" s="98">
        <f t="shared" si="274"/>
        <v>15399</v>
      </c>
      <c r="DG32" s="99">
        <v>1385</v>
      </c>
      <c r="DH32" s="99">
        <v>1739</v>
      </c>
      <c r="DI32" s="99">
        <f t="shared" si="275"/>
        <v>3124</v>
      </c>
      <c r="DJ32" s="104"/>
      <c r="DK32" s="104"/>
      <c r="DL32" s="104"/>
      <c r="DM32" s="99">
        <f t="shared" si="276"/>
        <v>1385</v>
      </c>
      <c r="DN32" s="99">
        <f t="shared" si="277"/>
        <v>1739</v>
      </c>
      <c r="DO32" s="99">
        <f t="shared" si="277"/>
        <v>3124</v>
      </c>
      <c r="DP32" s="116">
        <f t="shared" si="279"/>
        <v>0.18769480959479604</v>
      </c>
      <c r="DQ32" s="116">
        <f t="shared" si="280"/>
        <v>0.21683291770573565</v>
      </c>
      <c r="DR32" s="116">
        <f t="shared" si="281"/>
        <v>0.20287031625430224</v>
      </c>
      <c r="DS32" s="98">
        <f t="shared" si="227"/>
        <v>21689</v>
      </c>
      <c r="DT32" s="98">
        <f t="shared" si="228"/>
        <v>25472</v>
      </c>
      <c r="DU32" s="98">
        <f t="shared" si="229"/>
        <v>47161</v>
      </c>
      <c r="DV32" s="98">
        <f t="shared" si="230"/>
        <v>11310</v>
      </c>
      <c r="DW32" s="98">
        <f t="shared" si="231"/>
        <v>13590</v>
      </c>
      <c r="DX32" s="98">
        <f t="shared" si="232"/>
        <v>24900</v>
      </c>
      <c r="DY32" s="103"/>
      <c r="DZ32" s="103"/>
      <c r="EA32" s="103"/>
      <c r="EB32" s="98">
        <f t="shared" si="233"/>
        <v>11310</v>
      </c>
      <c r="EC32" s="98">
        <f t="shared" si="234"/>
        <v>13590</v>
      </c>
      <c r="ED32" s="98">
        <f t="shared" si="235"/>
        <v>24900</v>
      </c>
      <c r="EE32" s="116">
        <f t="shared" si="459"/>
        <v>0.52146249250772281</v>
      </c>
      <c r="EF32" s="116">
        <f t="shared" si="236"/>
        <v>0.53352701005025127</v>
      </c>
      <c r="EG32" s="116">
        <f t="shared" si="237"/>
        <v>0.52797862640741289</v>
      </c>
      <c r="EH32" s="98">
        <f t="shared" si="238"/>
        <v>12689</v>
      </c>
      <c r="EI32" s="98">
        <f t="shared" si="239"/>
        <v>14869</v>
      </c>
      <c r="EJ32" s="98">
        <f t="shared" si="239"/>
        <v>27558</v>
      </c>
      <c r="EK32" s="98">
        <f>677+2177</f>
        <v>2854</v>
      </c>
      <c r="EL32" s="98">
        <f>828+2482</f>
        <v>3310</v>
      </c>
      <c r="EM32" s="98">
        <f t="shared" si="241"/>
        <v>6164</v>
      </c>
      <c r="EN32" s="100">
        <f t="shared" si="470"/>
        <v>22.491922137284263</v>
      </c>
      <c r="EO32" s="100">
        <f t="shared" si="471"/>
        <v>22.261080099535949</v>
      </c>
      <c r="EP32" s="100">
        <f t="shared" si="472"/>
        <v>22.367370636475798</v>
      </c>
      <c r="EQ32" s="98">
        <f t="shared" si="245"/>
        <v>80</v>
      </c>
      <c r="ER32" s="98">
        <f t="shared" si="246"/>
        <v>107</v>
      </c>
      <c r="ES32" s="98">
        <f t="shared" si="246"/>
        <v>187</v>
      </c>
      <c r="ET32" s="98">
        <v>22</v>
      </c>
      <c r="EU32" s="98">
        <v>24</v>
      </c>
      <c r="EV32" s="98">
        <f t="shared" si="248"/>
        <v>46</v>
      </c>
      <c r="EW32" s="100">
        <f t="shared" si="473"/>
        <v>27.5</v>
      </c>
      <c r="EX32" s="100">
        <f t="shared" si="474"/>
        <v>22.429906542056074</v>
      </c>
      <c r="EY32" s="100">
        <f t="shared" si="474"/>
        <v>24.598930481283421</v>
      </c>
      <c r="EZ32" s="98">
        <f t="shared" si="252"/>
        <v>11310</v>
      </c>
      <c r="FA32" s="98">
        <f t="shared" si="253"/>
        <v>13590</v>
      </c>
      <c r="FB32" s="98">
        <f t="shared" si="253"/>
        <v>24900</v>
      </c>
      <c r="FC32" s="98">
        <f>528+1889</f>
        <v>2417</v>
      </c>
      <c r="FD32" s="98">
        <f>683+2232</f>
        <v>2915</v>
      </c>
      <c r="FE32" s="98">
        <f t="shared" si="255"/>
        <v>5332</v>
      </c>
      <c r="FF32" s="100">
        <f t="shared" si="475"/>
        <v>21.370468611847922</v>
      </c>
      <c r="FG32" s="100">
        <f t="shared" si="476"/>
        <v>21.449595290654894</v>
      </c>
      <c r="FH32" s="100">
        <f t="shared" si="477"/>
        <v>21.413654618473895</v>
      </c>
    </row>
    <row r="33" spans="1:164" ht="27" customHeight="1" x14ac:dyDescent="0.25">
      <c r="A33" s="94">
        <v>24</v>
      </c>
      <c r="B33" s="118" t="s">
        <v>159</v>
      </c>
      <c r="C33" s="96">
        <v>6892</v>
      </c>
      <c r="D33" s="96">
        <v>7636</v>
      </c>
      <c r="E33" s="96">
        <f t="shared" si="182"/>
        <v>14528</v>
      </c>
      <c r="F33" s="96">
        <v>5099</v>
      </c>
      <c r="G33" s="96">
        <v>5438</v>
      </c>
      <c r="H33" s="96">
        <f t="shared" si="183"/>
        <v>10537</v>
      </c>
      <c r="I33" s="96">
        <v>45</v>
      </c>
      <c r="J33" s="96">
        <v>38</v>
      </c>
      <c r="K33" s="96">
        <f t="shared" si="443"/>
        <v>83</v>
      </c>
      <c r="L33" s="97">
        <f t="shared" si="460"/>
        <v>5144</v>
      </c>
      <c r="M33" s="98">
        <f t="shared" si="461"/>
        <v>5476</v>
      </c>
      <c r="N33" s="98">
        <f t="shared" si="462"/>
        <v>10620</v>
      </c>
      <c r="O33" s="116">
        <f t="shared" si="187"/>
        <v>0.74637260591990717</v>
      </c>
      <c r="P33" s="116">
        <f t="shared" si="188"/>
        <v>0.71712938711367213</v>
      </c>
      <c r="Q33" s="116">
        <f t="shared" si="189"/>
        <v>0.73100220264317184</v>
      </c>
      <c r="R33" s="98">
        <v>53</v>
      </c>
      <c r="S33" s="98">
        <v>47</v>
      </c>
      <c r="T33" s="98">
        <f t="shared" si="478"/>
        <v>100</v>
      </c>
      <c r="U33" s="98">
        <v>14</v>
      </c>
      <c r="V33" s="98">
        <v>6</v>
      </c>
      <c r="W33" s="98">
        <f t="shared" si="258"/>
        <v>20</v>
      </c>
      <c r="X33" s="103"/>
      <c r="Y33" s="103"/>
      <c r="Z33" s="103"/>
      <c r="AA33" s="98">
        <f t="shared" si="259"/>
        <v>14</v>
      </c>
      <c r="AB33" s="98">
        <f t="shared" si="260"/>
        <v>6</v>
      </c>
      <c r="AC33" s="98">
        <f t="shared" si="261"/>
        <v>20</v>
      </c>
      <c r="AD33" s="116">
        <f t="shared" si="514"/>
        <v>0.26415094339622641</v>
      </c>
      <c r="AE33" s="116">
        <f t="shared" si="515"/>
        <v>0.1276595744680851</v>
      </c>
      <c r="AF33" s="116">
        <f t="shared" si="481"/>
        <v>0.2</v>
      </c>
      <c r="AG33" s="98">
        <f t="shared" si="190"/>
        <v>6945</v>
      </c>
      <c r="AH33" s="98">
        <f t="shared" si="191"/>
        <v>7683</v>
      </c>
      <c r="AI33" s="98">
        <f t="shared" si="191"/>
        <v>14628</v>
      </c>
      <c r="AJ33" s="98">
        <f t="shared" si="193"/>
        <v>5113</v>
      </c>
      <c r="AK33" s="98">
        <f t="shared" si="194"/>
        <v>5444</v>
      </c>
      <c r="AL33" s="98">
        <f t="shared" si="194"/>
        <v>10557</v>
      </c>
      <c r="AM33" s="98">
        <f t="shared" si="447"/>
        <v>45</v>
      </c>
      <c r="AN33" s="98">
        <f t="shared" si="265"/>
        <v>38</v>
      </c>
      <c r="AO33" s="98">
        <f t="shared" si="265"/>
        <v>83</v>
      </c>
      <c r="AP33" s="98">
        <f t="shared" si="195"/>
        <v>5158</v>
      </c>
      <c r="AQ33" s="98">
        <f t="shared" si="196"/>
        <v>5482</v>
      </c>
      <c r="AR33" s="98">
        <f t="shared" si="196"/>
        <v>10640</v>
      </c>
      <c r="AS33" s="116">
        <f t="shared" si="197"/>
        <v>0.74269258459323251</v>
      </c>
      <c r="AT33" s="116">
        <f t="shared" si="198"/>
        <v>0.71352336326955612</v>
      </c>
      <c r="AU33" s="116">
        <f t="shared" si="199"/>
        <v>0.7273721629751162</v>
      </c>
      <c r="AV33" s="99">
        <v>12</v>
      </c>
      <c r="AW33" s="99">
        <v>19</v>
      </c>
      <c r="AX33" s="99">
        <f t="shared" si="200"/>
        <v>31</v>
      </c>
      <c r="AY33" s="99">
        <v>10</v>
      </c>
      <c r="AZ33" s="99">
        <v>13</v>
      </c>
      <c r="BA33" s="99">
        <f t="shared" si="201"/>
        <v>23</v>
      </c>
      <c r="BB33" s="104"/>
      <c r="BC33" s="104"/>
      <c r="BD33" s="104"/>
      <c r="BE33" s="99">
        <f t="shared" si="202"/>
        <v>10</v>
      </c>
      <c r="BF33" s="99">
        <f t="shared" si="203"/>
        <v>13</v>
      </c>
      <c r="BG33" s="99">
        <f t="shared" si="203"/>
        <v>23</v>
      </c>
      <c r="BH33" s="116">
        <f t="shared" si="205"/>
        <v>0.83333333333333337</v>
      </c>
      <c r="BI33" s="116">
        <f t="shared" si="206"/>
        <v>0.68421052631578949</v>
      </c>
      <c r="BJ33" s="116">
        <f t="shared" si="207"/>
        <v>0.74193548387096775</v>
      </c>
      <c r="BK33" s="98">
        <v>0</v>
      </c>
      <c r="BL33" s="98">
        <v>0</v>
      </c>
      <c r="BM33" s="98">
        <f t="shared" si="266"/>
        <v>0</v>
      </c>
      <c r="BN33" s="99">
        <v>0</v>
      </c>
      <c r="BO33" s="99">
        <v>0</v>
      </c>
      <c r="BP33" s="99">
        <f t="shared" si="267"/>
        <v>0</v>
      </c>
      <c r="BQ33" s="104"/>
      <c r="BR33" s="104"/>
      <c r="BS33" s="104"/>
      <c r="BT33" s="99">
        <f t="shared" ref="BT33:BT34" si="519">+BN33+BQ33</f>
        <v>0</v>
      </c>
      <c r="BU33" s="99">
        <f t="shared" ref="BU33:BU34" si="520">+BO33+BR33</f>
        <v>0</v>
      </c>
      <c r="BV33" s="99">
        <f t="shared" ref="BV33:BV34" si="521">+BP33+BS33</f>
        <v>0</v>
      </c>
      <c r="BW33" s="116">
        <v>0</v>
      </c>
      <c r="BX33" s="116">
        <v>0</v>
      </c>
      <c r="BY33" s="116">
        <v>0</v>
      </c>
      <c r="BZ33" s="98">
        <f t="shared" si="463"/>
        <v>12</v>
      </c>
      <c r="CA33" s="98">
        <f t="shared" si="464"/>
        <v>19</v>
      </c>
      <c r="CB33" s="98">
        <f t="shared" si="465"/>
        <v>31</v>
      </c>
      <c r="CC33" s="98">
        <f t="shared" si="211"/>
        <v>10</v>
      </c>
      <c r="CD33" s="98">
        <f t="shared" si="212"/>
        <v>13</v>
      </c>
      <c r="CE33" s="98">
        <f t="shared" si="213"/>
        <v>23</v>
      </c>
      <c r="CF33" s="98">
        <f t="shared" si="449"/>
        <v>0</v>
      </c>
      <c r="CG33" s="98">
        <f t="shared" si="450"/>
        <v>0</v>
      </c>
      <c r="CH33" s="98">
        <f t="shared" si="451"/>
        <v>0</v>
      </c>
      <c r="CI33" s="98">
        <f t="shared" si="516"/>
        <v>10</v>
      </c>
      <c r="CJ33" s="98">
        <f t="shared" si="517"/>
        <v>13</v>
      </c>
      <c r="CK33" s="98">
        <f t="shared" si="518"/>
        <v>23</v>
      </c>
      <c r="CL33" s="116">
        <f t="shared" si="454"/>
        <v>0.83333333333333337</v>
      </c>
      <c r="CM33" s="116">
        <f t="shared" si="218"/>
        <v>0.68421052631578949</v>
      </c>
      <c r="CN33" s="116">
        <f t="shared" si="219"/>
        <v>0.74193548387096775</v>
      </c>
      <c r="CO33" s="99">
        <v>6791</v>
      </c>
      <c r="CP33" s="99">
        <v>7517</v>
      </c>
      <c r="CQ33" s="99">
        <f t="shared" si="220"/>
        <v>14308</v>
      </c>
      <c r="CR33" s="99">
        <v>5012</v>
      </c>
      <c r="CS33" s="99">
        <v>5351</v>
      </c>
      <c r="CT33" s="99">
        <f t="shared" si="221"/>
        <v>10363</v>
      </c>
      <c r="CU33" s="99">
        <v>45</v>
      </c>
      <c r="CV33" s="99">
        <v>38</v>
      </c>
      <c r="CW33" s="99">
        <f t="shared" si="455"/>
        <v>83</v>
      </c>
      <c r="CX33" s="99">
        <f t="shared" si="222"/>
        <v>5057</v>
      </c>
      <c r="CY33" s="99">
        <f t="shared" si="223"/>
        <v>5389</v>
      </c>
      <c r="CZ33" s="99">
        <f t="shared" si="223"/>
        <v>10446</v>
      </c>
      <c r="DA33" s="116">
        <f t="shared" si="273"/>
        <v>0.74466205271683106</v>
      </c>
      <c r="DB33" s="116">
        <f t="shared" si="225"/>
        <v>0.71690834109352131</v>
      </c>
      <c r="DC33" s="116">
        <f t="shared" si="226"/>
        <v>0.73008107352530049</v>
      </c>
      <c r="DD33" s="98">
        <v>53</v>
      </c>
      <c r="DE33" s="98">
        <v>47</v>
      </c>
      <c r="DF33" s="98">
        <f t="shared" si="274"/>
        <v>100</v>
      </c>
      <c r="DG33" s="99">
        <v>14</v>
      </c>
      <c r="DH33" s="99">
        <v>6</v>
      </c>
      <c r="DI33" s="99">
        <f t="shared" si="275"/>
        <v>20</v>
      </c>
      <c r="DJ33" s="104"/>
      <c r="DK33" s="104"/>
      <c r="DL33" s="104"/>
      <c r="DM33" s="99">
        <f t="shared" si="276"/>
        <v>14</v>
      </c>
      <c r="DN33" s="99">
        <f t="shared" si="277"/>
        <v>6</v>
      </c>
      <c r="DO33" s="99">
        <f t="shared" si="277"/>
        <v>20</v>
      </c>
      <c r="DP33" s="116">
        <f t="shared" si="279"/>
        <v>0.26415094339622641</v>
      </c>
      <c r="DQ33" s="116">
        <f t="shared" si="280"/>
        <v>0.1276595744680851</v>
      </c>
      <c r="DR33" s="116">
        <f t="shared" si="281"/>
        <v>0.2</v>
      </c>
      <c r="DS33" s="98">
        <f t="shared" si="227"/>
        <v>6844</v>
      </c>
      <c r="DT33" s="98">
        <f t="shared" si="228"/>
        <v>7564</v>
      </c>
      <c r="DU33" s="98">
        <f t="shared" si="229"/>
        <v>14408</v>
      </c>
      <c r="DV33" s="98">
        <f t="shared" si="230"/>
        <v>5026</v>
      </c>
      <c r="DW33" s="98">
        <f t="shared" si="231"/>
        <v>5357</v>
      </c>
      <c r="DX33" s="98">
        <f t="shared" si="232"/>
        <v>10383</v>
      </c>
      <c r="DY33" s="98">
        <f t="shared" si="456"/>
        <v>45</v>
      </c>
      <c r="DZ33" s="98">
        <f t="shared" si="457"/>
        <v>38</v>
      </c>
      <c r="EA33" s="98">
        <f t="shared" si="458"/>
        <v>83</v>
      </c>
      <c r="EB33" s="98">
        <f t="shared" si="233"/>
        <v>5071</v>
      </c>
      <c r="EC33" s="98">
        <f t="shared" si="234"/>
        <v>5395</v>
      </c>
      <c r="ED33" s="98">
        <f t="shared" si="235"/>
        <v>10466</v>
      </c>
      <c r="EE33" s="116">
        <f t="shared" si="459"/>
        <v>0.74094097019286964</v>
      </c>
      <c r="EF33" s="116">
        <f t="shared" si="236"/>
        <v>0.71324695928080384</v>
      </c>
      <c r="EG33" s="116">
        <f t="shared" si="237"/>
        <v>0.72640199888950585</v>
      </c>
      <c r="EH33" s="98">
        <f t="shared" si="238"/>
        <v>5158</v>
      </c>
      <c r="EI33" s="98">
        <f t="shared" si="239"/>
        <v>5482</v>
      </c>
      <c r="EJ33" s="98">
        <f t="shared" si="239"/>
        <v>10640</v>
      </c>
      <c r="EK33" s="98">
        <v>1885</v>
      </c>
      <c r="EL33" s="98">
        <v>2233</v>
      </c>
      <c r="EM33" s="98">
        <f t="shared" si="241"/>
        <v>4118</v>
      </c>
      <c r="EN33" s="100">
        <f t="shared" si="470"/>
        <v>36.545172547499028</v>
      </c>
      <c r="EO33" s="100">
        <f t="shared" si="471"/>
        <v>40.733309011309743</v>
      </c>
      <c r="EP33" s="100">
        <f t="shared" si="472"/>
        <v>38.703007518796994</v>
      </c>
      <c r="EQ33" s="98">
        <f t="shared" si="245"/>
        <v>10</v>
      </c>
      <c r="ER33" s="98">
        <f t="shared" si="246"/>
        <v>13</v>
      </c>
      <c r="ES33" s="98">
        <f t="shared" si="246"/>
        <v>23</v>
      </c>
      <c r="ET33" s="98">
        <v>5</v>
      </c>
      <c r="EU33" s="98">
        <v>8</v>
      </c>
      <c r="EV33" s="98">
        <f t="shared" si="248"/>
        <v>13</v>
      </c>
      <c r="EW33" s="100">
        <f t="shared" si="473"/>
        <v>50</v>
      </c>
      <c r="EX33" s="100">
        <f t="shared" si="474"/>
        <v>61.53846153846154</v>
      </c>
      <c r="EY33" s="100">
        <f t="shared" si="474"/>
        <v>56.521739130434781</v>
      </c>
      <c r="EZ33" s="98">
        <f t="shared" si="252"/>
        <v>5071</v>
      </c>
      <c r="FA33" s="98">
        <f t="shared" si="253"/>
        <v>5395</v>
      </c>
      <c r="FB33" s="98">
        <f t="shared" si="253"/>
        <v>10466</v>
      </c>
      <c r="FC33" s="98">
        <v>1850</v>
      </c>
      <c r="FD33" s="98">
        <v>2209</v>
      </c>
      <c r="FE33" s="98">
        <f t="shared" si="255"/>
        <v>4059</v>
      </c>
      <c r="FF33" s="100">
        <f t="shared" si="475"/>
        <v>36.481956221652531</v>
      </c>
      <c r="FG33" s="100">
        <f t="shared" si="476"/>
        <v>40.945319740500466</v>
      </c>
      <c r="FH33" s="100">
        <f t="shared" si="477"/>
        <v>38.782725014332122</v>
      </c>
    </row>
    <row r="34" spans="1:164" ht="27" customHeight="1" x14ac:dyDescent="0.25">
      <c r="A34" s="94">
        <v>25</v>
      </c>
      <c r="B34" s="118" t="s">
        <v>160</v>
      </c>
      <c r="C34" s="96">
        <v>9054</v>
      </c>
      <c r="D34" s="96">
        <v>9915</v>
      </c>
      <c r="E34" s="96">
        <f t="shared" si="182"/>
        <v>18969</v>
      </c>
      <c r="F34" s="96">
        <v>6996</v>
      </c>
      <c r="G34" s="96">
        <v>7561</v>
      </c>
      <c r="H34" s="96">
        <f t="shared" si="183"/>
        <v>14557</v>
      </c>
      <c r="I34" s="104"/>
      <c r="J34" s="104"/>
      <c r="K34" s="104"/>
      <c r="L34" s="97">
        <f t="shared" si="460"/>
        <v>6996</v>
      </c>
      <c r="M34" s="98">
        <f t="shared" si="461"/>
        <v>7561</v>
      </c>
      <c r="N34" s="98">
        <f t="shared" si="462"/>
        <v>14557</v>
      </c>
      <c r="O34" s="116">
        <f t="shared" si="187"/>
        <v>0.77269715043074882</v>
      </c>
      <c r="P34" s="116">
        <f t="shared" si="188"/>
        <v>0.76258194654563793</v>
      </c>
      <c r="Q34" s="116">
        <f t="shared" si="189"/>
        <v>0.76740998471189836</v>
      </c>
      <c r="R34" s="98">
        <v>1645</v>
      </c>
      <c r="S34" s="98">
        <v>1832</v>
      </c>
      <c r="T34" s="98">
        <f t="shared" si="478"/>
        <v>3477</v>
      </c>
      <c r="U34" s="98">
        <v>580</v>
      </c>
      <c r="V34" s="98">
        <v>617</v>
      </c>
      <c r="W34" s="98">
        <f t="shared" si="258"/>
        <v>1197</v>
      </c>
      <c r="X34" s="103"/>
      <c r="Y34" s="103"/>
      <c r="Z34" s="103"/>
      <c r="AA34" s="98">
        <f t="shared" si="259"/>
        <v>580</v>
      </c>
      <c r="AB34" s="98">
        <f t="shared" si="260"/>
        <v>617</v>
      </c>
      <c r="AC34" s="98">
        <f t="shared" si="261"/>
        <v>1197</v>
      </c>
      <c r="AD34" s="116">
        <f t="shared" si="514"/>
        <v>0.35258358662613981</v>
      </c>
      <c r="AE34" s="116">
        <f t="shared" si="515"/>
        <v>0.33679039301310043</v>
      </c>
      <c r="AF34" s="116">
        <f t="shared" si="481"/>
        <v>0.34426229508196721</v>
      </c>
      <c r="AG34" s="98">
        <f t="shared" si="190"/>
        <v>10699</v>
      </c>
      <c r="AH34" s="98">
        <f t="shared" si="191"/>
        <v>11747</v>
      </c>
      <c r="AI34" s="98">
        <f t="shared" si="191"/>
        <v>22446</v>
      </c>
      <c r="AJ34" s="98">
        <f t="shared" si="193"/>
        <v>7576</v>
      </c>
      <c r="AK34" s="98">
        <f t="shared" si="194"/>
        <v>8178</v>
      </c>
      <c r="AL34" s="98">
        <f t="shared" si="194"/>
        <v>15754</v>
      </c>
      <c r="AM34" s="103"/>
      <c r="AN34" s="103"/>
      <c r="AO34" s="103"/>
      <c r="AP34" s="98">
        <f t="shared" si="195"/>
        <v>7576</v>
      </c>
      <c r="AQ34" s="98">
        <f t="shared" si="196"/>
        <v>8178</v>
      </c>
      <c r="AR34" s="98">
        <f t="shared" si="196"/>
        <v>15754</v>
      </c>
      <c r="AS34" s="116">
        <f t="shared" si="197"/>
        <v>0.70810356108047479</v>
      </c>
      <c r="AT34" s="116">
        <f t="shared" si="198"/>
        <v>0.69617774751000261</v>
      </c>
      <c r="AU34" s="116">
        <f t="shared" si="199"/>
        <v>0.70186224717098811</v>
      </c>
      <c r="AV34" s="99">
        <v>97</v>
      </c>
      <c r="AW34" s="99">
        <v>82</v>
      </c>
      <c r="AX34" s="99">
        <f t="shared" si="200"/>
        <v>179</v>
      </c>
      <c r="AY34" s="99">
        <v>81</v>
      </c>
      <c r="AZ34" s="99">
        <v>67</v>
      </c>
      <c r="BA34" s="99">
        <f t="shared" si="201"/>
        <v>148</v>
      </c>
      <c r="BB34" s="104"/>
      <c r="BC34" s="104"/>
      <c r="BD34" s="104"/>
      <c r="BE34" s="99">
        <f t="shared" si="202"/>
        <v>81</v>
      </c>
      <c r="BF34" s="99">
        <f t="shared" si="203"/>
        <v>67</v>
      </c>
      <c r="BG34" s="99">
        <f t="shared" si="203"/>
        <v>148</v>
      </c>
      <c r="BH34" s="116">
        <f t="shared" si="205"/>
        <v>0.83505154639175261</v>
      </c>
      <c r="BI34" s="116">
        <f t="shared" si="206"/>
        <v>0.81707317073170727</v>
      </c>
      <c r="BJ34" s="116">
        <f t="shared" si="207"/>
        <v>0.82681564245810057</v>
      </c>
      <c r="BK34" s="95">
        <v>9</v>
      </c>
      <c r="BL34" s="95">
        <v>10</v>
      </c>
      <c r="BM34" s="98">
        <f t="shared" si="266"/>
        <v>19</v>
      </c>
      <c r="BN34" s="99">
        <v>4</v>
      </c>
      <c r="BO34" s="99">
        <v>3</v>
      </c>
      <c r="BP34" s="99">
        <f t="shared" si="267"/>
        <v>7</v>
      </c>
      <c r="BQ34" s="104"/>
      <c r="BR34" s="104"/>
      <c r="BS34" s="104"/>
      <c r="BT34" s="99">
        <f t="shared" si="519"/>
        <v>4</v>
      </c>
      <c r="BU34" s="99">
        <f t="shared" si="520"/>
        <v>3</v>
      </c>
      <c r="BV34" s="99">
        <f t="shared" si="521"/>
        <v>7</v>
      </c>
      <c r="BW34" s="116">
        <f t="shared" si="270"/>
        <v>0.44444444444444442</v>
      </c>
      <c r="BX34" s="116">
        <f t="shared" si="271"/>
        <v>0.3</v>
      </c>
      <c r="BY34" s="116">
        <f t="shared" si="272"/>
        <v>0.36842105263157893</v>
      </c>
      <c r="BZ34" s="98">
        <f t="shared" si="463"/>
        <v>106</v>
      </c>
      <c r="CA34" s="98">
        <f t="shared" si="464"/>
        <v>92</v>
      </c>
      <c r="CB34" s="98">
        <f t="shared" si="465"/>
        <v>198</v>
      </c>
      <c r="CC34" s="98">
        <f t="shared" si="211"/>
        <v>85</v>
      </c>
      <c r="CD34" s="98">
        <f t="shared" si="212"/>
        <v>70</v>
      </c>
      <c r="CE34" s="98">
        <f t="shared" si="213"/>
        <v>155</v>
      </c>
      <c r="CF34" s="103"/>
      <c r="CG34" s="103"/>
      <c r="CH34" s="103"/>
      <c r="CI34" s="98">
        <f t="shared" si="516"/>
        <v>85</v>
      </c>
      <c r="CJ34" s="98">
        <f t="shared" si="517"/>
        <v>70</v>
      </c>
      <c r="CK34" s="98">
        <f t="shared" si="518"/>
        <v>155</v>
      </c>
      <c r="CL34" s="116">
        <f t="shared" si="454"/>
        <v>0.80188679245283023</v>
      </c>
      <c r="CM34" s="116">
        <f t="shared" si="218"/>
        <v>0.76086956521739135</v>
      </c>
      <c r="CN34" s="116">
        <f t="shared" si="219"/>
        <v>0.78282828282828287</v>
      </c>
      <c r="CO34" s="99">
        <v>8103</v>
      </c>
      <c r="CP34" s="99">
        <v>9002</v>
      </c>
      <c r="CQ34" s="99">
        <f t="shared" si="220"/>
        <v>17105</v>
      </c>
      <c r="CR34" s="99">
        <v>6214</v>
      </c>
      <c r="CS34" s="99">
        <v>6806</v>
      </c>
      <c r="CT34" s="99">
        <f t="shared" si="221"/>
        <v>13020</v>
      </c>
      <c r="CU34" s="103"/>
      <c r="CV34" s="103"/>
      <c r="CW34" s="104"/>
      <c r="CX34" s="99">
        <f t="shared" ref="CX34" si="522">+CR34+CU34</f>
        <v>6214</v>
      </c>
      <c r="CY34" s="99">
        <f t="shared" si="223"/>
        <v>6806</v>
      </c>
      <c r="CZ34" s="99">
        <f t="shared" si="223"/>
        <v>13020</v>
      </c>
      <c r="DA34" s="116">
        <f t="shared" si="273"/>
        <v>0.76687646550660249</v>
      </c>
      <c r="DB34" s="116">
        <f t="shared" si="225"/>
        <v>0.75605421017551655</v>
      </c>
      <c r="DC34" s="116">
        <f t="shared" si="226"/>
        <v>0.76118094124524993</v>
      </c>
      <c r="DD34" s="99">
        <v>1574</v>
      </c>
      <c r="DE34" s="99">
        <v>1719</v>
      </c>
      <c r="DF34" s="98">
        <f t="shared" si="274"/>
        <v>3293</v>
      </c>
      <c r="DG34" s="95">
        <v>552</v>
      </c>
      <c r="DH34" s="95">
        <v>571</v>
      </c>
      <c r="DI34" s="99">
        <f t="shared" si="275"/>
        <v>1123</v>
      </c>
      <c r="DJ34" s="104"/>
      <c r="DK34" s="104"/>
      <c r="DL34" s="104"/>
      <c r="DM34" s="99">
        <f t="shared" ref="DM34" si="523">+DG34+DJ34</f>
        <v>552</v>
      </c>
      <c r="DN34" s="99">
        <f t="shared" ref="DN34" si="524">+DH34+DK34</f>
        <v>571</v>
      </c>
      <c r="DO34" s="99">
        <f t="shared" si="277"/>
        <v>1123</v>
      </c>
      <c r="DP34" s="116">
        <f t="shared" si="279"/>
        <v>0.35069885641677256</v>
      </c>
      <c r="DQ34" s="116">
        <f t="shared" si="280"/>
        <v>0.33216986620127981</v>
      </c>
      <c r="DR34" s="116">
        <f t="shared" si="281"/>
        <v>0.3410264196781051</v>
      </c>
      <c r="DS34" s="98">
        <f t="shared" si="227"/>
        <v>9677</v>
      </c>
      <c r="DT34" s="98">
        <f t="shared" si="228"/>
        <v>10721</v>
      </c>
      <c r="DU34" s="98">
        <f t="shared" si="229"/>
        <v>20398</v>
      </c>
      <c r="DV34" s="98">
        <f t="shared" ref="DV34" si="525">CR34+DG34</f>
        <v>6766</v>
      </c>
      <c r="DW34" s="98">
        <f t="shared" ref="DW34" si="526">CS34+DH34</f>
        <v>7377</v>
      </c>
      <c r="DX34" s="98">
        <f t="shared" ref="DX34" si="527">CT34+DI34</f>
        <v>14143</v>
      </c>
      <c r="DY34" s="98">
        <f t="shared" ref="DY34" si="528">CU34+DJ34</f>
        <v>0</v>
      </c>
      <c r="DZ34" s="98">
        <f t="shared" ref="DZ34" si="529">CV34+DK34</f>
        <v>0</v>
      </c>
      <c r="EA34" s="98">
        <f t="shared" ref="EA34" si="530">CW34+DL34</f>
        <v>0</v>
      </c>
      <c r="EB34" s="98">
        <f t="shared" si="233"/>
        <v>6766</v>
      </c>
      <c r="EC34" s="98">
        <f t="shared" si="234"/>
        <v>7377</v>
      </c>
      <c r="ED34" s="98">
        <f t="shared" si="235"/>
        <v>14143</v>
      </c>
      <c r="EE34" s="116">
        <f t="shared" si="459"/>
        <v>0.69918363129068928</v>
      </c>
      <c r="EF34" s="116">
        <f t="shared" si="236"/>
        <v>0.68808879768678299</v>
      </c>
      <c r="EG34" s="116">
        <f t="shared" si="237"/>
        <v>0.69335228944014116</v>
      </c>
      <c r="EH34" s="98">
        <f t="shared" si="238"/>
        <v>7576</v>
      </c>
      <c r="EI34" s="98">
        <f t="shared" si="239"/>
        <v>8178</v>
      </c>
      <c r="EJ34" s="98">
        <f t="shared" si="239"/>
        <v>15754</v>
      </c>
      <c r="EK34" s="101">
        <v>2769</v>
      </c>
      <c r="EL34" s="101">
        <v>3525</v>
      </c>
      <c r="EM34" s="98">
        <f t="shared" si="241"/>
        <v>6294</v>
      </c>
      <c r="EN34" s="100">
        <f t="shared" si="470"/>
        <v>36.549630411826818</v>
      </c>
      <c r="EO34" s="100">
        <f t="shared" si="471"/>
        <v>43.103448275862071</v>
      </c>
      <c r="EP34" s="100">
        <f t="shared" si="472"/>
        <v>39.951758283610509</v>
      </c>
      <c r="EQ34" s="98">
        <f t="shared" si="245"/>
        <v>85</v>
      </c>
      <c r="ER34" s="98">
        <f t="shared" si="246"/>
        <v>70</v>
      </c>
      <c r="ES34" s="98">
        <f t="shared" si="246"/>
        <v>155</v>
      </c>
      <c r="ET34" s="101">
        <v>43</v>
      </c>
      <c r="EU34" s="101">
        <v>27</v>
      </c>
      <c r="EV34" s="98">
        <f t="shared" si="248"/>
        <v>70</v>
      </c>
      <c r="EW34" s="100">
        <f t="shared" si="473"/>
        <v>50.588235294117645</v>
      </c>
      <c r="EX34" s="100">
        <f t="shared" si="474"/>
        <v>38.571428571428569</v>
      </c>
      <c r="EY34" s="100">
        <f t="shared" si="474"/>
        <v>45.161290322580648</v>
      </c>
      <c r="EZ34" s="98">
        <f t="shared" ref="EZ34" si="531">+EB34</f>
        <v>6766</v>
      </c>
      <c r="FA34" s="98">
        <f t="shared" ref="FA34" si="532">+EC34</f>
        <v>7377</v>
      </c>
      <c r="FB34" s="98">
        <f t="shared" ref="FB34" si="533">+ED34</f>
        <v>14143</v>
      </c>
      <c r="FC34" s="101">
        <v>2356</v>
      </c>
      <c r="FD34" s="101">
        <v>3127</v>
      </c>
      <c r="FE34" s="98">
        <f t="shared" si="255"/>
        <v>5483</v>
      </c>
      <c r="FF34" s="100">
        <f t="shared" si="475"/>
        <v>34.821164646763229</v>
      </c>
      <c r="FG34" s="100">
        <f t="shared" si="476"/>
        <v>42.388504812254304</v>
      </c>
      <c r="FH34" s="100">
        <f t="shared" si="477"/>
        <v>38.768295269744748</v>
      </c>
    </row>
    <row r="35" spans="1:164" ht="27" customHeight="1" x14ac:dyDescent="0.25">
      <c r="A35" s="94">
        <v>26</v>
      </c>
      <c r="B35" s="118" t="s">
        <v>142</v>
      </c>
      <c r="C35" s="96">
        <v>280389</v>
      </c>
      <c r="D35" s="96">
        <v>287799</v>
      </c>
      <c r="E35" s="96">
        <f>C35+D35</f>
        <v>568188</v>
      </c>
      <c r="F35" s="96">
        <v>239979</v>
      </c>
      <c r="G35" s="96">
        <v>248893</v>
      </c>
      <c r="H35" s="96">
        <f>F35+G35</f>
        <v>488872</v>
      </c>
      <c r="I35" s="96">
        <v>2324</v>
      </c>
      <c r="J35" s="96">
        <v>2222</v>
      </c>
      <c r="K35" s="96">
        <f>I35+J35</f>
        <v>4546</v>
      </c>
      <c r="L35" s="97">
        <f>F35+I35</f>
        <v>242303</v>
      </c>
      <c r="M35" s="98">
        <f>G35+J35</f>
        <v>251115</v>
      </c>
      <c r="N35" s="98">
        <f>H35+K35</f>
        <v>493418</v>
      </c>
      <c r="O35" s="116">
        <f>L35/C35</f>
        <v>0.86416728188338343</v>
      </c>
      <c r="P35" s="116">
        <f>M35/D35</f>
        <v>0.87253604077845992</v>
      </c>
      <c r="Q35" s="116">
        <f>N35/E35</f>
        <v>0.86840623174019871</v>
      </c>
      <c r="R35" s="98">
        <v>12757</v>
      </c>
      <c r="S35" s="98">
        <v>10037</v>
      </c>
      <c r="T35" s="98">
        <f>R35+S35</f>
        <v>22794</v>
      </c>
      <c r="U35" s="98">
        <v>7969</v>
      </c>
      <c r="V35" s="98">
        <v>6158</v>
      </c>
      <c r="W35" s="98">
        <f>U35+V35</f>
        <v>14127</v>
      </c>
      <c r="X35" s="98">
        <v>372</v>
      </c>
      <c r="Y35" s="98">
        <v>332</v>
      </c>
      <c r="Z35" s="98">
        <f>X35+Y35</f>
        <v>704</v>
      </c>
      <c r="AA35" s="98">
        <f>U35+X35</f>
        <v>8341</v>
      </c>
      <c r="AB35" s="98">
        <f>V35+Y35</f>
        <v>6490</v>
      </c>
      <c r="AC35" s="98">
        <f>W35+Z35</f>
        <v>14831</v>
      </c>
      <c r="AD35" s="116">
        <f>AA35/R35</f>
        <v>0.65383710903817516</v>
      </c>
      <c r="AE35" s="116">
        <f>AB35/S35</f>
        <v>0.64660755205738762</v>
      </c>
      <c r="AF35" s="116">
        <f>AC35/T35</f>
        <v>0.65065368079319119</v>
      </c>
      <c r="AG35" s="98">
        <f t="shared" ref="AG35:AR35" si="534">C35+R35</f>
        <v>293146</v>
      </c>
      <c r="AH35" s="98">
        <f t="shared" si="534"/>
        <v>297836</v>
      </c>
      <c r="AI35" s="98">
        <f t="shared" si="534"/>
        <v>590982</v>
      </c>
      <c r="AJ35" s="98">
        <f t="shared" si="534"/>
        <v>247948</v>
      </c>
      <c r="AK35" s="98">
        <f t="shared" si="534"/>
        <v>255051</v>
      </c>
      <c r="AL35" s="98">
        <f t="shared" si="534"/>
        <v>502999</v>
      </c>
      <c r="AM35" s="98">
        <f t="shared" si="534"/>
        <v>2696</v>
      </c>
      <c r="AN35" s="98">
        <f t="shared" si="534"/>
        <v>2554</v>
      </c>
      <c r="AO35" s="98">
        <f t="shared" si="534"/>
        <v>5250</v>
      </c>
      <c r="AP35" s="98">
        <f t="shared" si="534"/>
        <v>250644</v>
      </c>
      <c r="AQ35" s="98">
        <f t="shared" si="534"/>
        <v>257605</v>
      </c>
      <c r="AR35" s="98">
        <f t="shared" si="534"/>
        <v>508249</v>
      </c>
      <c r="AS35" s="116">
        <f>AP35/AG35</f>
        <v>0.85501422499368918</v>
      </c>
      <c r="AT35" s="116">
        <f>AQ35/AH35</f>
        <v>0.86492230623564648</v>
      </c>
      <c r="AU35" s="116">
        <f>AR35/AI35</f>
        <v>0.86000758060313176</v>
      </c>
      <c r="AV35" s="99">
        <v>53734</v>
      </c>
      <c r="AW35" s="99">
        <v>55747</v>
      </c>
      <c r="AX35" s="99">
        <f>+AV35+AW35</f>
        <v>109481</v>
      </c>
      <c r="AY35" s="99">
        <v>43780</v>
      </c>
      <c r="AZ35" s="99">
        <v>45198</v>
      </c>
      <c r="BA35" s="99">
        <f>+AY35+AZ35</f>
        <v>88978</v>
      </c>
      <c r="BB35" s="99">
        <v>492</v>
      </c>
      <c r="BC35" s="99">
        <v>472</v>
      </c>
      <c r="BD35" s="99">
        <f>+BB35+BC35</f>
        <v>964</v>
      </c>
      <c r="BE35" s="99">
        <f>+AY35+BB35</f>
        <v>44272</v>
      </c>
      <c r="BF35" s="99">
        <f>+AZ35+BC35</f>
        <v>45670</v>
      </c>
      <c r="BG35" s="99">
        <f>+BA35+BD35</f>
        <v>89942</v>
      </c>
      <c r="BH35" s="116">
        <f>BE35/AV35</f>
        <v>0.82391037332043027</v>
      </c>
      <c r="BI35" s="116">
        <f>BF35/AW35</f>
        <v>0.8192369096094857</v>
      </c>
      <c r="BJ35" s="116">
        <f>BG35/AX35</f>
        <v>0.82153067655574941</v>
      </c>
      <c r="BK35" s="95">
        <v>3121</v>
      </c>
      <c r="BL35" s="95">
        <v>2695</v>
      </c>
      <c r="BM35" s="98">
        <f>BK35+BL35</f>
        <v>5816</v>
      </c>
      <c r="BN35" s="99">
        <v>1890</v>
      </c>
      <c r="BO35" s="99">
        <v>1637</v>
      </c>
      <c r="BP35" s="99">
        <f>BN35+BO35</f>
        <v>3527</v>
      </c>
      <c r="BQ35" s="99">
        <v>85</v>
      </c>
      <c r="BR35" s="99">
        <v>85</v>
      </c>
      <c r="BS35" s="99">
        <f>BQ35+BR35</f>
        <v>170</v>
      </c>
      <c r="BT35" s="99">
        <f>+BN35+BQ35</f>
        <v>1975</v>
      </c>
      <c r="BU35" s="99">
        <f>+BO35+BR35</f>
        <v>1722</v>
      </c>
      <c r="BV35" s="99">
        <f>+BP35+BS35</f>
        <v>3697</v>
      </c>
      <c r="BW35" s="116">
        <f>BT35/BK35</f>
        <v>0.63280999679589878</v>
      </c>
      <c r="BX35" s="116">
        <f>BU35/BL35</f>
        <v>0.63896103896103895</v>
      </c>
      <c r="BY35" s="116">
        <f>BV35/BM35</f>
        <v>0.63566024759284734</v>
      </c>
      <c r="BZ35" s="98">
        <f t="shared" ref="BZ35:CK35" si="535">AV35+BK35</f>
        <v>56855</v>
      </c>
      <c r="CA35" s="98">
        <f t="shared" si="535"/>
        <v>58442</v>
      </c>
      <c r="CB35" s="98">
        <f t="shared" si="535"/>
        <v>115297</v>
      </c>
      <c r="CC35" s="98">
        <f t="shared" si="535"/>
        <v>45670</v>
      </c>
      <c r="CD35" s="98">
        <f t="shared" si="535"/>
        <v>46835</v>
      </c>
      <c r="CE35" s="98">
        <f t="shared" si="535"/>
        <v>92505</v>
      </c>
      <c r="CF35" s="98">
        <f t="shared" si="535"/>
        <v>577</v>
      </c>
      <c r="CG35" s="98">
        <f t="shared" si="535"/>
        <v>557</v>
      </c>
      <c r="CH35" s="98">
        <f t="shared" si="535"/>
        <v>1134</v>
      </c>
      <c r="CI35" s="98">
        <f t="shared" si="535"/>
        <v>46247</v>
      </c>
      <c r="CJ35" s="98">
        <f t="shared" si="535"/>
        <v>47392</v>
      </c>
      <c r="CK35" s="98">
        <f t="shared" si="535"/>
        <v>93639</v>
      </c>
      <c r="CL35" s="116">
        <f>CI35/BZ35</f>
        <v>0.81342010377275531</v>
      </c>
      <c r="CM35" s="116">
        <f>CJ35/CA35</f>
        <v>0.81092365079908291</v>
      </c>
      <c r="CN35" s="116">
        <f>CK35/CB35</f>
        <v>0.81215469613259672</v>
      </c>
      <c r="CO35" s="99">
        <v>56181</v>
      </c>
      <c r="CP35" s="99">
        <v>62963</v>
      </c>
      <c r="CQ35" s="99">
        <f>+CO35+CP35</f>
        <v>119144</v>
      </c>
      <c r="CR35" s="99">
        <v>46282</v>
      </c>
      <c r="CS35" s="99">
        <v>53186</v>
      </c>
      <c r="CT35" s="99">
        <f>+CR35+CS35</f>
        <v>99468</v>
      </c>
      <c r="CU35" s="99">
        <v>592</v>
      </c>
      <c r="CV35" s="99">
        <v>616</v>
      </c>
      <c r="CW35" s="99">
        <f>+CU35+CV35</f>
        <v>1208</v>
      </c>
      <c r="CX35" s="99">
        <f>+CR35+CU35</f>
        <v>46874</v>
      </c>
      <c r="CY35" s="99">
        <f>+CS35+CV35</f>
        <v>53802</v>
      </c>
      <c r="CZ35" s="99">
        <f>+CT35+CW35</f>
        <v>100676</v>
      </c>
      <c r="DA35" s="116">
        <f>CX35/CO35</f>
        <v>0.83433901140955125</v>
      </c>
      <c r="DB35" s="116">
        <f>CY35/CP35</f>
        <v>0.85450185029302927</v>
      </c>
      <c r="DC35" s="116">
        <f>CZ35/CQ35</f>
        <v>0.84499429262069425</v>
      </c>
      <c r="DD35" s="95">
        <v>3628</v>
      </c>
      <c r="DE35" s="95">
        <v>3121</v>
      </c>
      <c r="DF35" s="98">
        <f>DD35+DE35</f>
        <v>6749</v>
      </c>
      <c r="DG35" s="99">
        <v>2237</v>
      </c>
      <c r="DH35" s="99">
        <v>1847</v>
      </c>
      <c r="DI35" s="99">
        <f>+DG35+DH35</f>
        <v>4084</v>
      </c>
      <c r="DJ35" s="99">
        <v>102</v>
      </c>
      <c r="DK35" s="99">
        <v>81</v>
      </c>
      <c r="DL35" s="99">
        <f>DJ35+DK35</f>
        <v>183</v>
      </c>
      <c r="DM35" s="99">
        <f>+DG35+DJ35</f>
        <v>2339</v>
      </c>
      <c r="DN35" s="99">
        <f>+DH35+DK35</f>
        <v>1928</v>
      </c>
      <c r="DO35" s="99">
        <f>+DI35+DL35</f>
        <v>4267</v>
      </c>
      <c r="DP35" s="116">
        <f>DM35/DD35</f>
        <v>0.64470782800441018</v>
      </c>
      <c r="DQ35" s="116">
        <f>DN35/DE35</f>
        <v>0.61775072092278116</v>
      </c>
      <c r="DR35" s="116">
        <f>DO35/DF35</f>
        <v>0.63224181360201515</v>
      </c>
      <c r="DS35" s="98">
        <f t="shared" ref="DS35:ED35" si="536">CO35+DD35</f>
        <v>59809</v>
      </c>
      <c r="DT35" s="98">
        <f t="shared" si="536"/>
        <v>66084</v>
      </c>
      <c r="DU35" s="98">
        <f t="shared" si="536"/>
        <v>125893</v>
      </c>
      <c r="DV35" s="98">
        <f t="shared" si="536"/>
        <v>48519</v>
      </c>
      <c r="DW35" s="98">
        <f t="shared" si="536"/>
        <v>55033</v>
      </c>
      <c r="DX35" s="98">
        <f t="shared" si="536"/>
        <v>103552</v>
      </c>
      <c r="DY35" s="98">
        <f t="shared" si="536"/>
        <v>694</v>
      </c>
      <c r="DZ35" s="98">
        <f t="shared" si="536"/>
        <v>697</v>
      </c>
      <c r="EA35" s="98">
        <f t="shared" si="536"/>
        <v>1391</v>
      </c>
      <c r="EB35" s="98">
        <f t="shared" si="536"/>
        <v>49213</v>
      </c>
      <c r="EC35" s="98">
        <f t="shared" si="536"/>
        <v>55730</v>
      </c>
      <c r="ED35" s="98">
        <f t="shared" si="536"/>
        <v>104943</v>
      </c>
      <c r="EE35" s="116">
        <f>EB35/DS35</f>
        <v>0.82283602802253841</v>
      </c>
      <c r="EF35" s="116">
        <f>EC35/DT35</f>
        <v>0.84332062223836335</v>
      </c>
      <c r="EG35" s="116">
        <f>ED35/DU35</f>
        <v>0.83358884131762689</v>
      </c>
      <c r="EH35" s="98">
        <f>+AP35</f>
        <v>250644</v>
      </c>
      <c r="EI35" s="98">
        <f>+AQ35</f>
        <v>257605</v>
      </c>
      <c r="EJ35" s="98">
        <f>+AR35</f>
        <v>508249</v>
      </c>
      <c r="EK35" s="101">
        <v>90662</v>
      </c>
      <c r="EL35" s="101">
        <v>99095</v>
      </c>
      <c r="EM35" s="98">
        <f>EK35+EL35</f>
        <v>189757</v>
      </c>
      <c r="EN35" s="100">
        <f>+EK35*100/EH35</f>
        <v>36.171621901980501</v>
      </c>
      <c r="EO35" s="100">
        <f>+EL35*100/EI35</f>
        <v>38.46780924283302</v>
      </c>
      <c r="EP35" s="100">
        <f>+EM35*100/EJ35</f>
        <v>37.335439912326436</v>
      </c>
      <c r="EQ35" s="98">
        <f>+CI35</f>
        <v>46247</v>
      </c>
      <c r="ER35" s="98">
        <f>+CJ35</f>
        <v>47392</v>
      </c>
      <c r="ES35" s="98">
        <f>+CK35</f>
        <v>93639</v>
      </c>
      <c r="ET35" s="101">
        <v>13640</v>
      </c>
      <c r="EU35" s="101">
        <v>14547</v>
      </c>
      <c r="EV35" s="98">
        <f>ET35+EU35</f>
        <v>28187</v>
      </c>
      <c r="EW35" s="100">
        <f>+ET35*100/EQ35</f>
        <v>29.4938050035678</v>
      </c>
      <c r="EX35" s="100">
        <f>+EU35*100/ER35</f>
        <v>30.695054017555705</v>
      </c>
      <c r="EY35" s="100">
        <f>+EV35*100/ES35</f>
        <v>30.101773833552258</v>
      </c>
      <c r="EZ35" s="98">
        <f>+EB35</f>
        <v>49213</v>
      </c>
      <c r="FA35" s="98">
        <f>+EC35</f>
        <v>55730</v>
      </c>
      <c r="FB35" s="98">
        <f>+ED35</f>
        <v>104943</v>
      </c>
      <c r="FC35" s="101">
        <v>12117</v>
      </c>
      <c r="FD35" s="101">
        <v>15930</v>
      </c>
      <c r="FE35" s="98">
        <f>FC35+FD35</f>
        <v>28047</v>
      </c>
      <c r="FF35" s="100">
        <f>+FC35*100/EZ35</f>
        <v>24.621543088208401</v>
      </c>
      <c r="FG35" s="100">
        <f>+FD35*100/FA35</f>
        <v>28.58424546922663</v>
      </c>
      <c r="FH35" s="100">
        <f>+FE35*100/FB35</f>
        <v>26.725936937194476</v>
      </c>
    </row>
    <row r="36" spans="1:164" ht="27" customHeight="1" x14ac:dyDescent="0.25">
      <c r="A36" s="94">
        <v>27</v>
      </c>
      <c r="B36" s="118" t="s">
        <v>162</v>
      </c>
      <c r="C36" s="96">
        <v>257489</v>
      </c>
      <c r="D36" s="96">
        <v>193275</v>
      </c>
      <c r="E36" s="96">
        <f t="shared" si="182"/>
        <v>450764</v>
      </c>
      <c r="F36" s="96">
        <v>96315</v>
      </c>
      <c r="G36" s="96">
        <v>93686</v>
      </c>
      <c r="H36" s="96">
        <f t="shared" si="183"/>
        <v>190001</v>
      </c>
      <c r="I36" s="96">
        <v>35669</v>
      </c>
      <c r="J36" s="96">
        <v>23301</v>
      </c>
      <c r="K36" s="96">
        <f t="shared" si="443"/>
        <v>58970</v>
      </c>
      <c r="L36" s="97">
        <f t="shared" si="460"/>
        <v>131984</v>
      </c>
      <c r="M36" s="98">
        <f t="shared" si="461"/>
        <v>116987</v>
      </c>
      <c r="N36" s="98">
        <f t="shared" si="462"/>
        <v>248971</v>
      </c>
      <c r="O36" s="116">
        <f t="shared" si="187"/>
        <v>0.51258111997017353</v>
      </c>
      <c r="P36" s="116">
        <f t="shared" si="188"/>
        <v>0.60528780235415858</v>
      </c>
      <c r="Q36" s="116">
        <f t="shared" si="189"/>
        <v>0.55233115333078953</v>
      </c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12"/>
      <c r="AE36" s="112"/>
      <c r="AF36" s="112"/>
      <c r="AG36" s="98">
        <f t="shared" si="190"/>
        <v>257489</v>
      </c>
      <c r="AH36" s="98">
        <f t="shared" si="191"/>
        <v>193275</v>
      </c>
      <c r="AI36" s="98">
        <f t="shared" si="191"/>
        <v>450764</v>
      </c>
      <c r="AJ36" s="98">
        <f t="shared" si="193"/>
        <v>96315</v>
      </c>
      <c r="AK36" s="98">
        <f t="shared" si="194"/>
        <v>93686</v>
      </c>
      <c r="AL36" s="98">
        <f t="shared" si="194"/>
        <v>190001</v>
      </c>
      <c r="AM36" s="98">
        <f t="shared" si="447"/>
        <v>35669</v>
      </c>
      <c r="AN36" s="98">
        <f>J36+Y36</f>
        <v>23301</v>
      </c>
      <c r="AO36" s="98">
        <f t="shared" si="265"/>
        <v>58970</v>
      </c>
      <c r="AP36" s="98">
        <f t="shared" si="195"/>
        <v>131984</v>
      </c>
      <c r="AQ36" s="98">
        <f t="shared" si="196"/>
        <v>116987</v>
      </c>
      <c r="AR36" s="98">
        <f t="shared" si="196"/>
        <v>248971</v>
      </c>
      <c r="AS36" s="116">
        <f t="shared" si="197"/>
        <v>0.51258111997017353</v>
      </c>
      <c r="AT36" s="116">
        <f t="shared" si="198"/>
        <v>0.60528780235415858</v>
      </c>
      <c r="AU36" s="116">
        <f t="shared" si="199"/>
        <v>0.55233115333078953</v>
      </c>
      <c r="AV36" s="99">
        <v>92620</v>
      </c>
      <c r="AW36" s="99">
        <v>78800</v>
      </c>
      <c r="AX36" s="99">
        <f t="shared" si="200"/>
        <v>171420</v>
      </c>
      <c r="AY36" s="99">
        <v>33029</v>
      </c>
      <c r="AZ36" s="99">
        <v>36042</v>
      </c>
      <c r="BA36" s="99">
        <f t="shared" si="201"/>
        <v>69071</v>
      </c>
      <c r="BB36" s="99">
        <v>7854</v>
      </c>
      <c r="BC36" s="99">
        <v>6182</v>
      </c>
      <c r="BD36" s="99">
        <f t="shared" si="448"/>
        <v>14036</v>
      </c>
      <c r="BE36" s="99">
        <f t="shared" si="202"/>
        <v>40883</v>
      </c>
      <c r="BF36" s="99">
        <f t="shared" si="203"/>
        <v>42224</v>
      </c>
      <c r="BG36" s="99">
        <f t="shared" si="203"/>
        <v>83107</v>
      </c>
      <c r="BH36" s="116">
        <f t="shared" si="205"/>
        <v>0.44140574389980564</v>
      </c>
      <c r="BI36" s="116">
        <f t="shared" si="206"/>
        <v>0.53583756345177669</v>
      </c>
      <c r="BJ36" s="116">
        <f t="shared" si="207"/>
        <v>0.48481507408703767</v>
      </c>
      <c r="BK36" s="111"/>
      <c r="BL36" s="111"/>
      <c r="BM36" s="103"/>
      <c r="BN36" s="104"/>
      <c r="BO36" s="104"/>
      <c r="BP36" s="104"/>
      <c r="BQ36" s="104"/>
      <c r="BR36" s="104"/>
      <c r="BS36" s="104"/>
      <c r="BT36" s="104"/>
      <c r="BU36" s="104"/>
      <c r="BV36" s="104"/>
      <c r="BW36" s="112"/>
      <c r="BX36" s="112"/>
      <c r="BY36" s="112"/>
      <c r="BZ36" s="98">
        <f t="shared" si="463"/>
        <v>92620</v>
      </c>
      <c r="CA36" s="98">
        <f t="shared" si="464"/>
        <v>78800</v>
      </c>
      <c r="CB36" s="98">
        <f t="shared" si="465"/>
        <v>171420</v>
      </c>
      <c r="CC36" s="98">
        <f t="shared" si="211"/>
        <v>33029</v>
      </c>
      <c r="CD36" s="98">
        <f t="shared" si="212"/>
        <v>36042</v>
      </c>
      <c r="CE36" s="98">
        <f t="shared" si="213"/>
        <v>69071</v>
      </c>
      <c r="CF36" s="98">
        <f t="shared" si="449"/>
        <v>7854</v>
      </c>
      <c r="CG36" s="98">
        <f t="shared" si="450"/>
        <v>6182</v>
      </c>
      <c r="CH36" s="98">
        <f t="shared" si="451"/>
        <v>14036</v>
      </c>
      <c r="CI36" s="98">
        <f t="shared" si="516"/>
        <v>40883</v>
      </c>
      <c r="CJ36" s="98">
        <f t="shared" si="517"/>
        <v>42224</v>
      </c>
      <c r="CK36" s="98">
        <f t="shared" si="518"/>
        <v>83107</v>
      </c>
      <c r="CL36" s="116">
        <f t="shared" si="454"/>
        <v>0.44140574389980564</v>
      </c>
      <c r="CM36" s="116">
        <f t="shared" si="218"/>
        <v>0.53583756345177669</v>
      </c>
      <c r="CN36" s="116">
        <f t="shared" si="219"/>
        <v>0.48481507408703767</v>
      </c>
      <c r="CO36" s="99">
        <v>34</v>
      </c>
      <c r="CP36" s="99">
        <v>29</v>
      </c>
      <c r="CQ36" s="99">
        <f t="shared" si="220"/>
        <v>63</v>
      </c>
      <c r="CR36" s="99">
        <v>21</v>
      </c>
      <c r="CS36" s="99">
        <v>15</v>
      </c>
      <c r="CT36" s="99">
        <f t="shared" si="221"/>
        <v>36</v>
      </c>
      <c r="CU36" s="99">
        <v>2</v>
      </c>
      <c r="CV36" s="99">
        <v>4</v>
      </c>
      <c r="CW36" s="99">
        <f t="shared" si="455"/>
        <v>6</v>
      </c>
      <c r="CX36" s="99">
        <f t="shared" si="222"/>
        <v>23</v>
      </c>
      <c r="CY36" s="99">
        <f t="shared" si="223"/>
        <v>19</v>
      </c>
      <c r="CZ36" s="99">
        <f t="shared" si="223"/>
        <v>42</v>
      </c>
      <c r="DA36" s="116">
        <f t="shared" si="273"/>
        <v>0.67647058823529416</v>
      </c>
      <c r="DB36" s="116">
        <f t="shared" si="225"/>
        <v>0.65517241379310343</v>
      </c>
      <c r="DC36" s="116">
        <f t="shared" si="226"/>
        <v>0.66666666666666663</v>
      </c>
      <c r="DD36" s="111"/>
      <c r="DE36" s="111"/>
      <c r="DF36" s="103"/>
      <c r="DG36" s="104"/>
      <c r="DH36" s="104"/>
      <c r="DI36" s="104"/>
      <c r="DJ36" s="104"/>
      <c r="DK36" s="104"/>
      <c r="DL36" s="104"/>
      <c r="DM36" s="104"/>
      <c r="DN36" s="104"/>
      <c r="DO36" s="104"/>
      <c r="DP36" s="112"/>
      <c r="DQ36" s="112"/>
      <c r="DR36" s="112"/>
      <c r="DS36" s="98">
        <f t="shared" si="227"/>
        <v>34</v>
      </c>
      <c r="DT36" s="98">
        <f t="shared" si="228"/>
        <v>29</v>
      </c>
      <c r="DU36" s="98">
        <f t="shared" si="229"/>
        <v>63</v>
      </c>
      <c r="DV36" s="98">
        <f t="shared" si="230"/>
        <v>21</v>
      </c>
      <c r="DW36" s="98">
        <f t="shared" si="231"/>
        <v>15</v>
      </c>
      <c r="DX36" s="98">
        <f t="shared" si="232"/>
        <v>36</v>
      </c>
      <c r="DY36" s="98">
        <f t="shared" si="456"/>
        <v>2</v>
      </c>
      <c r="DZ36" s="98">
        <f t="shared" si="457"/>
        <v>4</v>
      </c>
      <c r="EA36" s="98">
        <f t="shared" si="458"/>
        <v>6</v>
      </c>
      <c r="EB36" s="98">
        <f t="shared" si="233"/>
        <v>23</v>
      </c>
      <c r="EC36" s="98">
        <f t="shared" si="234"/>
        <v>19</v>
      </c>
      <c r="ED36" s="98">
        <f t="shared" si="235"/>
        <v>42</v>
      </c>
      <c r="EE36" s="116">
        <f t="shared" si="459"/>
        <v>0.67647058823529416</v>
      </c>
      <c r="EF36" s="116">
        <f t="shared" si="236"/>
        <v>0.65517241379310343</v>
      </c>
      <c r="EG36" s="116">
        <f t="shared" si="237"/>
        <v>0.66666666666666663</v>
      </c>
      <c r="EH36" s="98">
        <f t="shared" si="238"/>
        <v>131984</v>
      </c>
      <c r="EI36" s="98">
        <f t="shared" si="239"/>
        <v>116987</v>
      </c>
      <c r="EJ36" s="98">
        <f t="shared" si="239"/>
        <v>248971</v>
      </c>
      <c r="EK36" s="101">
        <v>92147</v>
      </c>
      <c r="EL36" s="101">
        <v>98190</v>
      </c>
      <c r="EM36" s="98">
        <f t="shared" si="241"/>
        <v>190337</v>
      </c>
      <c r="EN36" s="100">
        <f t="shared" si="470"/>
        <v>69.816795975269727</v>
      </c>
      <c r="EO36" s="100">
        <f t="shared" si="471"/>
        <v>83.932402745604207</v>
      </c>
      <c r="EP36" s="100">
        <f t="shared" si="472"/>
        <v>76.449466002064497</v>
      </c>
      <c r="EQ36" s="98">
        <f t="shared" si="245"/>
        <v>40883</v>
      </c>
      <c r="ER36" s="98">
        <f t="shared" si="246"/>
        <v>42224</v>
      </c>
      <c r="ES36" s="98">
        <f t="shared" si="246"/>
        <v>83107</v>
      </c>
      <c r="ET36" s="101">
        <v>26097</v>
      </c>
      <c r="EU36" s="101">
        <v>33745</v>
      </c>
      <c r="EV36" s="98">
        <f t="shared" si="248"/>
        <v>59842</v>
      </c>
      <c r="EW36" s="100">
        <f t="shared" si="473"/>
        <v>63.833378176748283</v>
      </c>
      <c r="EX36" s="100">
        <f t="shared" si="474"/>
        <v>79.919003410382714</v>
      </c>
      <c r="EY36" s="100">
        <f t="shared" si="474"/>
        <v>72.005968209657425</v>
      </c>
      <c r="EZ36" s="98">
        <f>+EB36</f>
        <v>23</v>
      </c>
      <c r="FA36" s="98">
        <f t="shared" si="253"/>
        <v>19</v>
      </c>
      <c r="FB36" s="98">
        <f t="shared" si="253"/>
        <v>42</v>
      </c>
      <c r="FC36" s="101">
        <v>18</v>
      </c>
      <c r="FD36" s="101">
        <v>17</v>
      </c>
      <c r="FE36" s="98">
        <f t="shared" si="255"/>
        <v>35</v>
      </c>
      <c r="FF36" s="100">
        <f t="shared" si="475"/>
        <v>78.260869565217391</v>
      </c>
      <c r="FG36" s="100">
        <f t="shared" si="476"/>
        <v>89.473684210526315</v>
      </c>
      <c r="FH36" s="100">
        <f t="shared" si="477"/>
        <v>83.333333333333329</v>
      </c>
    </row>
    <row r="37" spans="1:164" ht="27" customHeight="1" x14ac:dyDescent="0.25">
      <c r="A37" s="94">
        <v>28</v>
      </c>
      <c r="B37" s="118" t="s">
        <v>212</v>
      </c>
      <c r="C37" s="96">
        <v>608997</v>
      </c>
      <c r="D37" s="96">
        <v>458682</v>
      </c>
      <c r="E37" s="96">
        <f>C37+D37</f>
        <v>1067679</v>
      </c>
      <c r="F37" s="96">
        <v>483444</v>
      </c>
      <c r="G37" s="96">
        <v>363909</v>
      </c>
      <c r="H37" s="96">
        <f>F37+G37</f>
        <v>847353</v>
      </c>
      <c r="I37" s="96">
        <v>11856</v>
      </c>
      <c r="J37" s="96">
        <v>11165</v>
      </c>
      <c r="K37" s="96">
        <f>I37+J37</f>
        <v>23021</v>
      </c>
      <c r="L37" s="97">
        <f>F37+I37</f>
        <v>495300</v>
      </c>
      <c r="M37" s="98">
        <f t="shared" ref="M37:N37" si="537">G37+J37</f>
        <v>375074</v>
      </c>
      <c r="N37" s="98">
        <f t="shared" si="537"/>
        <v>870374</v>
      </c>
      <c r="O37" s="116">
        <f>L37/C37</f>
        <v>0.81330449903694102</v>
      </c>
      <c r="P37" s="116">
        <f t="shared" ref="P37:Q37" si="538">M37/D37</f>
        <v>0.81772120990141317</v>
      </c>
      <c r="Q37" s="116">
        <f t="shared" si="538"/>
        <v>0.81520194740179397</v>
      </c>
      <c r="R37" s="98">
        <v>2935</v>
      </c>
      <c r="S37" s="98">
        <v>2482</v>
      </c>
      <c r="T37" s="98">
        <f>R37+S37</f>
        <v>5417</v>
      </c>
      <c r="U37" s="98">
        <v>540</v>
      </c>
      <c r="V37" s="98">
        <v>335</v>
      </c>
      <c r="W37" s="98">
        <f>U37+V37</f>
        <v>875</v>
      </c>
      <c r="X37" s="98">
        <v>47</v>
      </c>
      <c r="Y37" s="98">
        <v>83</v>
      </c>
      <c r="Z37" s="98">
        <f>X37+Y37</f>
        <v>130</v>
      </c>
      <c r="AA37" s="98">
        <f>U37+X37</f>
        <v>587</v>
      </c>
      <c r="AB37" s="98">
        <f>V37+Y37</f>
        <v>418</v>
      </c>
      <c r="AC37" s="98">
        <f>W37+Z37</f>
        <v>1005</v>
      </c>
      <c r="AD37" s="116">
        <f>AA37/R37</f>
        <v>0.2</v>
      </c>
      <c r="AE37" s="116">
        <f>AB37/S37</f>
        <v>0.16841257050765512</v>
      </c>
      <c r="AF37" s="116">
        <f>AC37/T37</f>
        <v>0.18552704448956986</v>
      </c>
      <c r="AG37" s="98">
        <f t="shared" ref="AG37:AM37" si="539">C37+R37</f>
        <v>611932</v>
      </c>
      <c r="AH37" s="98">
        <f t="shared" si="539"/>
        <v>461164</v>
      </c>
      <c r="AI37" s="98">
        <f t="shared" si="539"/>
        <v>1073096</v>
      </c>
      <c r="AJ37" s="98">
        <f t="shared" si="539"/>
        <v>483984</v>
      </c>
      <c r="AK37" s="98">
        <f t="shared" si="539"/>
        <v>364244</v>
      </c>
      <c r="AL37" s="98">
        <f t="shared" si="539"/>
        <v>848228</v>
      </c>
      <c r="AM37" s="98">
        <f t="shared" si="539"/>
        <v>11903</v>
      </c>
      <c r="AN37" s="98">
        <f>J37+Y37</f>
        <v>11248</v>
      </c>
      <c r="AO37" s="98">
        <f>K37+Z37</f>
        <v>23151</v>
      </c>
      <c r="AP37" s="98">
        <f>L37+AA37</f>
        <v>495887</v>
      </c>
      <c r="AQ37" s="98">
        <f>M37+AB37</f>
        <v>375492</v>
      </c>
      <c r="AR37" s="98">
        <f>N37+AC37</f>
        <v>871379</v>
      </c>
      <c r="AS37" s="116">
        <f>AP37/AG37</f>
        <v>0.81036291614100908</v>
      </c>
      <c r="AT37" s="116">
        <f t="shared" ref="AT37" si="540">AQ37/AH37</f>
        <v>0.81422660918892198</v>
      </c>
      <c r="AU37" s="116">
        <f>AR37/AI37</f>
        <v>0.81202334180725677</v>
      </c>
      <c r="AV37" s="99">
        <v>113695</v>
      </c>
      <c r="AW37" s="99">
        <v>86041</v>
      </c>
      <c r="AX37" s="99">
        <f>+AV37+AW37</f>
        <v>199736</v>
      </c>
      <c r="AY37" s="99">
        <v>86499</v>
      </c>
      <c r="AZ37" s="99">
        <v>64034</v>
      </c>
      <c r="BA37" s="99">
        <f>+AY37+AZ37</f>
        <v>150533</v>
      </c>
      <c r="BB37" s="99">
        <v>2541</v>
      </c>
      <c r="BC37" s="99">
        <v>2559</v>
      </c>
      <c r="BD37" s="99">
        <f>+BB37+BC37</f>
        <v>5100</v>
      </c>
      <c r="BE37" s="99">
        <f>+AY37+BB37</f>
        <v>89040</v>
      </c>
      <c r="BF37" s="99">
        <f>+AZ37+BC37</f>
        <v>66593</v>
      </c>
      <c r="BG37" s="99">
        <f>+BA37+BD37</f>
        <v>155633</v>
      </c>
      <c r="BH37" s="116">
        <f>BE37/AV37</f>
        <v>0.7831478956858261</v>
      </c>
      <c r="BI37" s="116">
        <f t="shared" ref="BI37:BJ37" si="541">BF37/AW37</f>
        <v>0.77396822445113378</v>
      </c>
      <c r="BJ37" s="116">
        <f t="shared" si="541"/>
        <v>0.77919353546681625</v>
      </c>
      <c r="BK37" s="98">
        <v>590</v>
      </c>
      <c r="BL37" s="98">
        <v>493</v>
      </c>
      <c r="BM37" s="98">
        <f>BK37+BL37</f>
        <v>1083</v>
      </c>
      <c r="BN37" s="99">
        <v>59</v>
      </c>
      <c r="BO37" s="99">
        <v>35</v>
      </c>
      <c r="BP37" s="99">
        <f>BN37+BO37</f>
        <v>94</v>
      </c>
      <c r="BQ37" s="99">
        <v>8</v>
      </c>
      <c r="BR37" s="99">
        <v>15</v>
      </c>
      <c r="BS37" s="99">
        <f>BQ37+BR37</f>
        <v>23</v>
      </c>
      <c r="BT37" s="99">
        <f>+BN37+BQ37</f>
        <v>67</v>
      </c>
      <c r="BU37" s="99">
        <f>+BO37+BR37</f>
        <v>50</v>
      </c>
      <c r="BV37" s="99">
        <f>+BP37+BS37</f>
        <v>117</v>
      </c>
      <c r="BW37" s="116">
        <f>BT37/BK37</f>
        <v>0.11355932203389831</v>
      </c>
      <c r="BX37" s="116">
        <f t="shared" ref="BX37:BY37" si="542">BU37/BL37</f>
        <v>0.10141987829614604</v>
      </c>
      <c r="BY37" s="116">
        <f t="shared" si="542"/>
        <v>0.10803324099722991</v>
      </c>
      <c r="BZ37" s="98">
        <f t="shared" ref="BZ37:CK37" si="543">AV37+BK37</f>
        <v>114285</v>
      </c>
      <c r="CA37" s="98">
        <f t="shared" si="543"/>
        <v>86534</v>
      </c>
      <c r="CB37" s="98">
        <f t="shared" si="543"/>
        <v>200819</v>
      </c>
      <c r="CC37" s="98">
        <f t="shared" si="543"/>
        <v>86558</v>
      </c>
      <c r="CD37" s="98">
        <f t="shared" si="543"/>
        <v>64069</v>
      </c>
      <c r="CE37" s="98">
        <f t="shared" si="543"/>
        <v>150627</v>
      </c>
      <c r="CF37" s="98">
        <f t="shared" si="543"/>
        <v>2549</v>
      </c>
      <c r="CG37" s="98">
        <f t="shared" si="543"/>
        <v>2574</v>
      </c>
      <c r="CH37" s="98">
        <f t="shared" si="543"/>
        <v>5123</v>
      </c>
      <c r="CI37" s="98">
        <f t="shared" si="543"/>
        <v>89107</v>
      </c>
      <c r="CJ37" s="98">
        <f t="shared" si="543"/>
        <v>66643</v>
      </c>
      <c r="CK37" s="98">
        <f t="shared" si="543"/>
        <v>155750</v>
      </c>
      <c r="CL37" s="116">
        <f>CI37/BZ37</f>
        <v>0.77969112306951915</v>
      </c>
      <c r="CM37" s="116">
        <f>CJ37/CA37</f>
        <v>0.77013659370883125</v>
      </c>
      <c r="CN37" s="116">
        <f>CK37/CB37</f>
        <v>0.77557402437020406</v>
      </c>
      <c r="CO37" s="99">
        <v>77675</v>
      </c>
      <c r="CP37" s="99">
        <v>67368</v>
      </c>
      <c r="CQ37" s="99">
        <f>+CO37+CP37</f>
        <v>145043</v>
      </c>
      <c r="CR37" s="99">
        <v>56225</v>
      </c>
      <c r="CS37" s="99">
        <v>46587</v>
      </c>
      <c r="CT37" s="99">
        <f>+CR37+CS37</f>
        <v>102812</v>
      </c>
      <c r="CU37" s="99">
        <v>1767</v>
      </c>
      <c r="CV37" s="99">
        <v>1820</v>
      </c>
      <c r="CW37" s="99">
        <f>+CU37+CV37</f>
        <v>3587</v>
      </c>
      <c r="CX37" s="99">
        <f>+CR37+CU37</f>
        <v>57992</v>
      </c>
      <c r="CY37" s="99">
        <f>+CS37+CV37</f>
        <v>48407</v>
      </c>
      <c r="CZ37" s="99">
        <f>+CT37+CW37</f>
        <v>106399</v>
      </c>
      <c r="DA37" s="116">
        <f>CX37/CO37</f>
        <v>0.74659800450595426</v>
      </c>
      <c r="DB37" s="116">
        <f t="shared" ref="DB37:DC37" si="544">CY37/CP37</f>
        <v>0.71854589716185724</v>
      </c>
      <c r="DC37" s="116">
        <f t="shared" si="544"/>
        <v>0.73356866584392211</v>
      </c>
      <c r="DD37" s="98">
        <v>158</v>
      </c>
      <c r="DE37" s="98">
        <v>135</v>
      </c>
      <c r="DF37" s="98">
        <f>DD37+DE37</f>
        <v>293</v>
      </c>
      <c r="DG37" s="99">
        <v>8</v>
      </c>
      <c r="DH37" s="99">
        <v>9</v>
      </c>
      <c r="DI37" s="99">
        <f>+DG37+DH37</f>
        <v>17</v>
      </c>
      <c r="DJ37" s="99">
        <v>3</v>
      </c>
      <c r="DK37" s="99">
        <v>3</v>
      </c>
      <c r="DL37" s="99">
        <f>DJ37+DK37</f>
        <v>6</v>
      </c>
      <c r="DM37" s="99">
        <f>+DG37+DJ37</f>
        <v>11</v>
      </c>
      <c r="DN37" s="99">
        <f>+DH37+DK37</f>
        <v>12</v>
      </c>
      <c r="DO37" s="99">
        <f>+DI37+DL37</f>
        <v>23</v>
      </c>
      <c r="DP37" s="116">
        <f>DM37/DD37</f>
        <v>6.9620253164556958E-2</v>
      </c>
      <c r="DQ37" s="116">
        <f>DN37/DE37</f>
        <v>8.8888888888888892E-2</v>
      </c>
      <c r="DR37" s="116">
        <f>DO37/DF37</f>
        <v>7.8498293515358364E-2</v>
      </c>
      <c r="DS37" s="98">
        <f t="shared" ref="DS37:ED37" si="545">CO37+DD37</f>
        <v>77833</v>
      </c>
      <c r="DT37" s="98">
        <f t="shared" si="545"/>
        <v>67503</v>
      </c>
      <c r="DU37" s="98">
        <f t="shared" si="545"/>
        <v>145336</v>
      </c>
      <c r="DV37" s="98">
        <f t="shared" si="545"/>
        <v>56233</v>
      </c>
      <c r="DW37" s="98">
        <f t="shared" si="545"/>
        <v>46596</v>
      </c>
      <c r="DX37" s="98">
        <f t="shared" si="545"/>
        <v>102829</v>
      </c>
      <c r="DY37" s="98">
        <f t="shared" si="545"/>
        <v>1770</v>
      </c>
      <c r="DZ37" s="98">
        <f t="shared" si="545"/>
        <v>1823</v>
      </c>
      <c r="EA37" s="98">
        <f t="shared" si="545"/>
        <v>3593</v>
      </c>
      <c r="EB37" s="98">
        <f t="shared" si="545"/>
        <v>58003</v>
      </c>
      <c r="EC37" s="98">
        <f t="shared" si="545"/>
        <v>48419</v>
      </c>
      <c r="ED37" s="98">
        <f t="shared" si="545"/>
        <v>106422</v>
      </c>
      <c r="EE37" s="116">
        <f>EB37/DS37</f>
        <v>0.74522374828157723</v>
      </c>
      <c r="EF37" s="116">
        <f>EC37/DT37</f>
        <v>0.7172866391123357</v>
      </c>
      <c r="EG37" s="116">
        <f>ED37/DU37</f>
        <v>0.73224803214619916</v>
      </c>
      <c r="EH37" s="98">
        <f>+AP37</f>
        <v>495887</v>
      </c>
      <c r="EI37" s="98">
        <f>+AQ37</f>
        <v>375492</v>
      </c>
      <c r="EJ37" s="98">
        <f>+AR37</f>
        <v>871379</v>
      </c>
      <c r="EK37" s="98">
        <v>177850</v>
      </c>
      <c r="EL37" s="98">
        <v>136661</v>
      </c>
      <c r="EM37" s="98">
        <f>EK37+EL37</f>
        <v>314511</v>
      </c>
      <c r="EN37" s="100">
        <f>+EK37*100/EH37</f>
        <v>35.865025701419881</v>
      </c>
      <c r="EO37" s="100">
        <f t="shared" ref="EO37:EP37" si="546">+EL37*100/EI37</f>
        <v>36.395182853429631</v>
      </c>
      <c r="EP37" s="100">
        <f t="shared" si="546"/>
        <v>36.093479415960218</v>
      </c>
      <c r="EQ37" s="98">
        <f>+CI37</f>
        <v>89107</v>
      </c>
      <c r="ER37" s="98">
        <f>+CJ37</f>
        <v>66643</v>
      </c>
      <c r="ES37" s="98">
        <f>+CK37</f>
        <v>155750</v>
      </c>
      <c r="ET37" s="98">
        <v>26127</v>
      </c>
      <c r="EU37" s="98">
        <v>18121</v>
      </c>
      <c r="EV37" s="98">
        <f>ET37+EU37</f>
        <v>44248</v>
      </c>
      <c r="EW37" s="100">
        <f>+ET37*100/EQ37</f>
        <v>29.32092877102809</v>
      </c>
      <c r="EX37" s="100">
        <f>+EU37*100/ER37</f>
        <v>27.191152859265038</v>
      </c>
      <c r="EY37" s="100">
        <f>+EV37*100/ES37</f>
        <v>28.409630818619583</v>
      </c>
      <c r="EZ37" s="98">
        <f>+EB37</f>
        <v>58003</v>
      </c>
      <c r="FA37" s="98">
        <f>+EC37</f>
        <v>48419</v>
      </c>
      <c r="FB37" s="98">
        <f>+ED37</f>
        <v>106422</v>
      </c>
      <c r="FC37" s="98">
        <v>14103</v>
      </c>
      <c r="FD37" s="98">
        <v>6372</v>
      </c>
      <c r="FE37" s="98">
        <f>FC37+FD37</f>
        <v>20475</v>
      </c>
      <c r="FF37" s="100">
        <f>+FC37*100/EZ37</f>
        <v>24.314259607261693</v>
      </c>
      <c r="FG37" s="100">
        <f t="shared" ref="FG37:FH37" si="547">+FD37*100/FA37</f>
        <v>13.16012309217456</v>
      </c>
      <c r="FH37" s="100">
        <f t="shared" si="547"/>
        <v>19.239442972317754</v>
      </c>
    </row>
    <row r="38" spans="1:164" ht="27" customHeight="1" x14ac:dyDescent="0.25">
      <c r="A38" s="94">
        <v>29</v>
      </c>
      <c r="B38" s="118" t="s">
        <v>164</v>
      </c>
      <c r="C38" s="75">
        <v>490870</v>
      </c>
      <c r="D38" s="75">
        <v>491227</v>
      </c>
      <c r="E38" s="75">
        <f t="shared" si="182"/>
        <v>982097</v>
      </c>
      <c r="F38" s="75">
        <v>454212</v>
      </c>
      <c r="G38" s="75">
        <v>472499</v>
      </c>
      <c r="H38" s="75">
        <f t="shared" si="183"/>
        <v>926711</v>
      </c>
      <c r="I38" s="105"/>
      <c r="J38" s="105"/>
      <c r="K38" s="105"/>
      <c r="L38" s="97">
        <f t="shared" si="460"/>
        <v>454212</v>
      </c>
      <c r="M38" s="98">
        <f t="shared" si="461"/>
        <v>472499</v>
      </c>
      <c r="N38" s="98">
        <f t="shared" si="462"/>
        <v>926711</v>
      </c>
      <c r="O38" s="117">
        <f t="shared" si="187"/>
        <v>0.92532034958339271</v>
      </c>
      <c r="P38" s="117">
        <f t="shared" si="188"/>
        <v>0.96187505979923738</v>
      </c>
      <c r="Q38" s="117">
        <f t="shared" si="189"/>
        <v>0.94360434865395171</v>
      </c>
      <c r="R38" s="28">
        <v>31867</v>
      </c>
      <c r="S38" s="28">
        <v>11940</v>
      </c>
      <c r="T38" s="28">
        <f t="shared" si="478"/>
        <v>43807</v>
      </c>
      <c r="U38" s="28">
        <v>7495</v>
      </c>
      <c r="V38" s="28">
        <v>4347</v>
      </c>
      <c r="W38" s="28">
        <f t="shared" si="258"/>
        <v>11842</v>
      </c>
      <c r="X38" s="103"/>
      <c r="Y38" s="103"/>
      <c r="Z38" s="103"/>
      <c r="AA38" s="28">
        <f t="shared" si="259"/>
        <v>7495</v>
      </c>
      <c r="AB38" s="28">
        <f t="shared" si="260"/>
        <v>4347</v>
      </c>
      <c r="AC38" s="28">
        <f t="shared" si="261"/>
        <v>11842</v>
      </c>
      <c r="AD38" s="117">
        <f t="shared" ref="AD38:AD39" si="548">AA38/R38</f>
        <v>0.2351962845576929</v>
      </c>
      <c r="AE38" s="117">
        <f t="shared" ref="AE38:AE39" si="549">AB38/S38</f>
        <v>0.36407035175879399</v>
      </c>
      <c r="AF38" s="117">
        <f t="shared" si="481"/>
        <v>0.27032209464240875</v>
      </c>
      <c r="AG38" s="28">
        <f t="shared" si="190"/>
        <v>522737</v>
      </c>
      <c r="AH38" s="28">
        <f t="shared" si="191"/>
        <v>503167</v>
      </c>
      <c r="AI38" s="28">
        <f t="shared" si="191"/>
        <v>1025904</v>
      </c>
      <c r="AJ38" s="28">
        <f t="shared" si="193"/>
        <v>461707</v>
      </c>
      <c r="AK38" s="28">
        <f t="shared" si="194"/>
        <v>476846</v>
      </c>
      <c r="AL38" s="28">
        <f t="shared" si="194"/>
        <v>938553</v>
      </c>
      <c r="AM38" s="106"/>
      <c r="AN38" s="106"/>
      <c r="AO38" s="106"/>
      <c r="AP38" s="28">
        <f t="shared" si="195"/>
        <v>461707</v>
      </c>
      <c r="AQ38" s="28">
        <f t="shared" si="196"/>
        <v>476846</v>
      </c>
      <c r="AR38" s="28">
        <f t="shared" si="196"/>
        <v>938553</v>
      </c>
      <c r="AS38" s="117">
        <f t="shared" si="197"/>
        <v>0.88324912910316278</v>
      </c>
      <c r="AT38" s="117">
        <f t="shared" si="198"/>
        <v>0.94768933574737613</v>
      </c>
      <c r="AU38" s="117">
        <f t="shared" si="199"/>
        <v>0.9148546062789501</v>
      </c>
      <c r="AV38" s="92">
        <v>117953</v>
      </c>
      <c r="AW38" s="92">
        <v>123166</v>
      </c>
      <c r="AX38" s="92">
        <f t="shared" si="200"/>
        <v>241119</v>
      </c>
      <c r="AY38" s="92">
        <v>103904</v>
      </c>
      <c r="AZ38" s="92">
        <v>114858</v>
      </c>
      <c r="BA38" s="92">
        <f t="shared" si="201"/>
        <v>218762</v>
      </c>
      <c r="BB38" s="105"/>
      <c r="BC38" s="105"/>
      <c r="BD38" s="105"/>
      <c r="BE38" s="92">
        <f t="shared" si="202"/>
        <v>103904</v>
      </c>
      <c r="BF38" s="92">
        <f t="shared" si="203"/>
        <v>114858</v>
      </c>
      <c r="BG38" s="92">
        <f t="shared" si="203"/>
        <v>218762</v>
      </c>
      <c r="BH38" s="117">
        <f>BE38/AV38</f>
        <v>0.88089323713682566</v>
      </c>
      <c r="BI38" s="117">
        <f t="shared" si="206"/>
        <v>0.93254631960118861</v>
      </c>
      <c r="BJ38" s="117">
        <f t="shared" si="207"/>
        <v>0.90727814896378967</v>
      </c>
      <c r="BK38" s="28">
        <v>10394</v>
      </c>
      <c r="BL38" s="28">
        <v>3967</v>
      </c>
      <c r="BM38" s="28">
        <f t="shared" si="266"/>
        <v>14361</v>
      </c>
      <c r="BN38" s="92">
        <v>2183</v>
      </c>
      <c r="BO38" s="92">
        <v>1211</v>
      </c>
      <c r="BP38" s="92">
        <f t="shared" si="267"/>
        <v>3394</v>
      </c>
      <c r="BQ38" s="105"/>
      <c r="BR38" s="105"/>
      <c r="BS38" s="105"/>
      <c r="BT38" s="92">
        <f>+BN38+BQ38</f>
        <v>2183</v>
      </c>
      <c r="BU38" s="92">
        <f t="shared" si="268"/>
        <v>1211</v>
      </c>
      <c r="BV38" s="92">
        <f t="shared" si="268"/>
        <v>3394</v>
      </c>
      <c r="BW38" s="117">
        <f t="shared" si="270"/>
        <v>0.21002501443140273</v>
      </c>
      <c r="BX38" s="117">
        <f t="shared" si="271"/>
        <v>0.30526846483488784</v>
      </c>
      <c r="BY38" s="117">
        <f t="shared" si="272"/>
        <v>0.23633451709490982</v>
      </c>
      <c r="BZ38" s="98">
        <f t="shared" ref="BZ38" si="550">AV38+BK38</f>
        <v>128347</v>
      </c>
      <c r="CA38" s="98">
        <f t="shared" ref="CA38" si="551">AW38+BL38</f>
        <v>127133</v>
      </c>
      <c r="CB38" s="98">
        <f t="shared" ref="CB38" si="552">AX38+BM38</f>
        <v>255480</v>
      </c>
      <c r="CC38" s="28">
        <f t="shared" si="211"/>
        <v>106087</v>
      </c>
      <c r="CD38" s="28">
        <f t="shared" si="212"/>
        <v>116069</v>
      </c>
      <c r="CE38" s="28">
        <f t="shared" si="213"/>
        <v>222156</v>
      </c>
      <c r="CF38" s="106"/>
      <c r="CG38" s="106"/>
      <c r="CH38" s="106"/>
      <c r="CI38" s="28">
        <f t="shared" ref="CI38" si="553">BE38+BT38</f>
        <v>106087</v>
      </c>
      <c r="CJ38" s="28">
        <f t="shared" si="452"/>
        <v>116069</v>
      </c>
      <c r="CK38" s="28">
        <f t="shared" si="453"/>
        <v>222156</v>
      </c>
      <c r="CL38" s="117">
        <f t="shared" si="454"/>
        <v>0.82656392436130177</v>
      </c>
      <c r="CM38" s="117">
        <f t="shared" si="218"/>
        <v>0.91297302824601012</v>
      </c>
      <c r="CN38" s="117">
        <f t="shared" si="219"/>
        <v>0.86956317519962423</v>
      </c>
      <c r="CO38" s="92">
        <v>4798</v>
      </c>
      <c r="CP38" s="92">
        <v>4849</v>
      </c>
      <c r="CQ38" s="92">
        <f t="shared" si="220"/>
        <v>9647</v>
      </c>
      <c r="CR38" s="92">
        <v>4200</v>
      </c>
      <c r="CS38" s="92">
        <v>4357</v>
      </c>
      <c r="CT38" s="92">
        <f t="shared" si="221"/>
        <v>8557</v>
      </c>
      <c r="CU38" s="105"/>
      <c r="CV38" s="105"/>
      <c r="CW38" s="105"/>
      <c r="CX38" s="92">
        <f t="shared" si="222"/>
        <v>4200</v>
      </c>
      <c r="CY38" s="92">
        <f t="shared" si="223"/>
        <v>4357</v>
      </c>
      <c r="CZ38" s="92">
        <f t="shared" si="223"/>
        <v>8557</v>
      </c>
      <c r="DA38" s="117">
        <f t="shared" si="273"/>
        <v>0.87536473530637771</v>
      </c>
      <c r="DB38" s="117">
        <f t="shared" si="225"/>
        <v>0.89853578057331407</v>
      </c>
      <c r="DC38" s="117">
        <f t="shared" si="226"/>
        <v>0.88701150616772051</v>
      </c>
      <c r="DD38" s="28">
        <v>327</v>
      </c>
      <c r="DE38" s="28">
        <v>150</v>
      </c>
      <c r="DF38" s="28">
        <f t="shared" si="274"/>
        <v>477</v>
      </c>
      <c r="DG38" s="92">
        <v>69</v>
      </c>
      <c r="DH38" s="92">
        <v>46</v>
      </c>
      <c r="DI38" s="92">
        <f t="shared" si="275"/>
        <v>115</v>
      </c>
      <c r="DJ38" s="105"/>
      <c r="DK38" s="105"/>
      <c r="DL38" s="105"/>
      <c r="DM38" s="92">
        <f t="shared" si="276"/>
        <v>69</v>
      </c>
      <c r="DN38" s="92">
        <f t="shared" si="277"/>
        <v>46</v>
      </c>
      <c r="DO38" s="92">
        <f t="shared" si="277"/>
        <v>115</v>
      </c>
      <c r="DP38" s="116">
        <f t="shared" si="279"/>
        <v>0.21100917431192662</v>
      </c>
      <c r="DQ38" s="116">
        <f t="shared" si="280"/>
        <v>0.30666666666666664</v>
      </c>
      <c r="DR38" s="116">
        <f t="shared" si="281"/>
        <v>0.24109014675052412</v>
      </c>
      <c r="DS38" s="98">
        <f t="shared" si="227"/>
        <v>5125</v>
      </c>
      <c r="DT38" s="98">
        <f t="shared" si="228"/>
        <v>4999</v>
      </c>
      <c r="DU38" s="28">
        <f t="shared" si="229"/>
        <v>10124</v>
      </c>
      <c r="DV38" s="28">
        <f t="shared" si="230"/>
        <v>4269</v>
      </c>
      <c r="DW38" s="28">
        <f t="shared" si="231"/>
        <v>4403</v>
      </c>
      <c r="DX38" s="28">
        <f t="shared" si="232"/>
        <v>8672</v>
      </c>
      <c r="DY38" s="106"/>
      <c r="DZ38" s="106"/>
      <c r="EA38" s="106"/>
      <c r="EB38" s="28">
        <f t="shared" si="233"/>
        <v>4269</v>
      </c>
      <c r="EC38" s="28">
        <f t="shared" si="234"/>
        <v>4403</v>
      </c>
      <c r="ED38" s="28">
        <f t="shared" si="235"/>
        <v>8672</v>
      </c>
      <c r="EE38" s="117">
        <f t="shared" si="459"/>
        <v>0.83297560975609752</v>
      </c>
      <c r="EF38" s="117">
        <f t="shared" si="236"/>
        <v>0.88077615523104624</v>
      </c>
      <c r="EG38" s="117">
        <f t="shared" si="237"/>
        <v>0.85657842749901225</v>
      </c>
      <c r="EH38" s="28">
        <f t="shared" si="238"/>
        <v>461707</v>
      </c>
      <c r="EI38" s="28">
        <f t="shared" si="239"/>
        <v>476846</v>
      </c>
      <c r="EJ38" s="28">
        <f t="shared" si="239"/>
        <v>938553</v>
      </c>
      <c r="EK38" s="28">
        <v>348603</v>
      </c>
      <c r="EL38" s="28">
        <v>406794</v>
      </c>
      <c r="EM38" s="28">
        <f t="shared" si="241"/>
        <v>755397</v>
      </c>
      <c r="EN38" s="100">
        <f t="shared" si="470"/>
        <v>75.503078792394305</v>
      </c>
      <c r="EO38" s="93">
        <f t="shared" si="471"/>
        <v>85.309303213196714</v>
      </c>
      <c r="EP38" s="93">
        <f t="shared" si="472"/>
        <v>80.485278934700546</v>
      </c>
      <c r="EQ38" s="28">
        <f t="shared" si="245"/>
        <v>106087</v>
      </c>
      <c r="ER38" s="28">
        <f t="shared" si="246"/>
        <v>116069</v>
      </c>
      <c r="ES38" s="28">
        <f t="shared" si="246"/>
        <v>222156</v>
      </c>
      <c r="ET38" s="28">
        <v>69963</v>
      </c>
      <c r="EU38" s="28">
        <v>89856</v>
      </c>
      <c r="EV38" s="28">
        <f t="shared" si="248"/>
        <v>159819</v>
      </c>
      <c r="EW38" s="93">
        <f t="shared" si="473"/>
        <v>65.948702480039969</v>
      </c>
      <c r="EX38" s="93">
        <f t="shared" si="474"/>
        <v>77.416019781336956</v>
      </c>
      <c r="EY38" s="93">
        <f t="shared" si="474"/>
        <v>71.939988116458707</v>
      </c>
      <c r="EZ38" s="28">
        <f t="shared" si="252"/>
        <v>4269</v>
      </c>
      <c r="FA38" s="28">
        <f t="shared" si="253"/>
        <v>4403</v>
      </c>
      <c r="FB38" s="28">
        <f t="shared" si="253"/>
        <v>8672</v>
      </c>
      <c r="FC38" s="28">
        <v>2751</v>
      </c>
      <c r="FD38" s="28">
        <v>3029</v>
      </c>
      <c r="FE38" s="28">
        <f t="shared" si="255"/>
        <v>5780</v>
      </c>
      <c r="FF38" s="93">
        <f t="shared" si="475"/>
        <v>64.441321152494723</v>
      </c>
      <c r="FG38" s="93">
        <f t="shared" si="476"/>
        <v>68.794004088121739</v>
      </c>
      <c r="FH38" s="93">
        <f t="shared" si="477"/>
        <v>66.651291512915122</v>
      </c>
    </row>
    <row r="39" spans="1:164" ht="27" customHeight="1" x14ac:dyDescent="0.25">
      <c r="A39" s="94">
        <v>30</v>
      </c>
      <c r="B39" s="118" t="s">
        <v>165</v>
      </c>
      <c r="C39" s="75">
        <v>23837</v>
      </c>
      <c r="D39" s="75">
        <v>24516</v>
      </c>
      <c r="E39" s="75">
        <f t="shared" si="182"/>
        <v>48353</v>
      </c>
      <c r="F39" s="75">
        <v>14724</v>
      </c>
      <c r="G39" s="75">
        <v>14279</v>
      </c>
      <c r="H39" s="75">
        <f t="shared" si="183"/>
        <v>29003</v>
      </c>
      <c r="I39" s="105"/>
      <c r="J39" s="105"/>
      <c r="K39" s="105"/>
      <c r="L39" s="97">
        <f t="shared" si="460"/>
        <v>14724</v>
      </c>
      <c r="M39" s="98">
        <f t="shared" si="461"/>
        <v>14279</v>
      </c>
      <c r="N39" s="98">
        <f t="shared" si="462"/>
        <v>29003</v>
      </c>
      <c r="O39" s="117">
        <f t="shared" si="187"/>
        <v>0.61769517976255406</v>
      </c>
      <c r="P39" s="117">
        <f t="shared" si="188"/>
        <v>0.58243596018926413</v>
      </c>
      <c r="Q39" s="117">
        <f t="shared" si="189"/>
        <v>0.59981800508758509</v>
      </c>
      <c r="R39" s="28">
        <v>488</v>
      </c>
      <c r="S39" s="28">
        <v>533</v>
      </c>
      <c r="T39" s="28">
        <f t="shared" si="478"/>
        <v>1021</v>
      </c>
      <c r="U39" s="28">
        <v>98</v>
      </c>
      <c r="V39" s="28">
        <v>188</v>
      </c>
      <c r="W39" s="28">
        <f t="shared" si="258"/>
        <v>286</v>
      </c>
      <c r="X39" s="106"/>
      <c r="Y39" s="106"/>
      <c r="Z39" s="106"/>
      <c r="AA39" s="28">
        <f t="shared" si="259"/>
        <v>98</v>
      </c>
      <c r="AB39" s="28">
        <f t="shared" si="260"/>
        <v>188</v>
      </c>
      <c r="AC39" s="28">
        <f t="shared" si="261"/>
        <v>286</v>
      </c>
      <c r="AD39" s="117">
        <f t="shared" si="548"/>
        <v>0.20081967213114754</v>
      </c>
      <c r="AE39" s="117">
        <f t="shared" si="549"/>
        <v>0.3527204502814259</v>
      </c>
      <c r="AF39" s="117">
        <f t="shared" si="481"/>
        <v>0.2801175318315377</v>
      </c>
      <c r="AG39" s="28">
        <f t="shared" si="190"/>
        <v>24325</v>
      </c>
      <c r="AH39" s="28">
        <f t="shared" si="191"/>
        <v>25049</v>
      </c>
      <c r="AI39" s="28">
        <f t="shared" si="191"/>
        <v>49374</v>
      </c>
      <c r="AJ39" s="28">
        <f t="shared" si="193"/>
        <v>14822</v>
      </c>
      <c r="AK39" s="28">
        <f t="shared" si="194"/>
        <v>14467</v>
      </c>
      <c r="AL39" s="28">
        <f t="shared" si="194"/>
        <v>29289</v>
      </c>
      <c r="AM39" s="106"/>
      <c r="AN39" s="106"/>
      <c r="AO39" s="106"/>
      <c r="AP39" s="28">
        <f t="shared" si="195"/>
        <v>14822</v>
      </c>
      <c r="AQ39" s="28">
        <f t="shared" si="196"/>
        <v>14467</v>
      </c>
      <c r="AR39" s="28">
        <f t="shared" si="196"/>
        <v>29289</v>
      </c>
      <c r="AS39" s="117">
        <f t="shared" si="197"/>
        <v>0.60933196300102777</v>
      </c>
      <c r="AT39" s="117">
        <f t="shared" si="198"/>
        <v>0.57754800590841948</v>
      </c>
      <c r="AU39" s="117">
        <f t="shared" si="199"/>
        <v>0.59320695102685628</v>
      </c>
      <c r="AV39" s="92">
        <v>4644</v>
      </c>
      <c r="AW39" s="92">
        <v>4581</v>
      </c>
      <c r="AX39" s="92">
        <f t="shared" si="200"/>
        <v>9225</v>
      </c>
      <c r="AY39" s="92">
        <v>3091</v>
      </c>
      <c r="AZ39" s="92">
        <v>2989</v>
      </c>
      <c r="BA39" s="92">
        <f t="shared" si="201"/>
        <v>6080</v>
      </c>
      <c r="BB39" s="105"/>
      <c r="BC39" s="105"/>
      <c r="BD39" s="105"/>
      <c r="BE39" s="92">
        <f t="shared" si="202"/>
        <v>3091</v>
      </c>
      <c r="BF39" s="92">
        <f t="shared" si="203"/>
        <v>2989</v>
      </c>
      <c r="BG39" s="92">
        <f t="shared" si="203"/>
        <v>6080</v>
      </c>
      <c r="BH39" s="117">
        <f t="shared" si="205"/>
        <v>0.66559000861326445</v>
      </c>
      <c r="BI39" s="117">
        <f t="shared" si="206"/>
        <v>0.65247762497271333</v>
      </c>
      <c r="BJ39" s="117">
        <f t="shared" si="207"/>
        <v>0.65907859078590791</v>
      </c>
      <c r="BK39" s="28">
        <v>95</v>
      </c>
      <c r="BL39" s="28">
        <v>84</v>
      </c>
      <c r="BM39" s="28">
        <f t="shared" si="266"/>
        <v>179</v>
      </c>
      <c r="BN39" s="92">
        <v>16</v>
      </c>
      <c r="BO39" s="92">
        <v>36</v>
      </c>
      <c r="BP39" s="92">
        <f t="shared" si="267"/>
        <v>52</v>
      </c>
      <c r="BQ39" s="105"/>
      <c r="BR39" s="105"/>
      <c r="BS39" s="105"/>
      <c r="BT39" s="92">
        <f t="shared" si="482"/>
        <v>16</v>
      </c>
      <c r="BU39" s="92">
        <f t="shared" si="268"/>
        <v>36</v>
      </c>
      <c r="BV39" s="92">
        <f t="shared" si="268"/>
        <v>52</v>
      </c>
      <c r="BW39" s="117">
        <f t="shared" si="270"/>
        <v>0.16842105263157894</v>
      </c>
      <c r="BX39" s="117">
        <f t="shared" si="271"/>
        <v>0.42857142857142855</v>
      </c>
      <c r="BY39" s="117">
        <f t="shared" si="272"/>
        <v>0.29050279329608941</v>
      </c>
      <c r="BZ39" s="98">
        <f t="shared" ref="BZ39:BZ43" si="554">AV39+BK39</f>
        <v>4739</v>
      </c>
      <c r="CA39" s="98">
        <f t="shared" ref="CA39:CA43" si="555">AW39+BL39</f>
        <v>4665</v>
      </c>
      <c r="CB39" s="98">
        <f t="shared" ref="CB39:CB43" si="556">AX39+BM39</f>
        <v>9404</v>
      </c>
      <c r="CC39" s="28">
        <f t="shared" si="211"/>
        <v>3107</v>
      </c>
      <c r="CD39" s="28">
        <f t="shared" si="212"/>
        <v>3025</v>
      </c>
      <c r="CE39" s="28">
        <f t="shared" si="213"/>
        <v>6132</v>
      </c>
      <c r="CF39" s="106"/>
      <c r="CG39" s="106"/>
      <c r="CH39" s="106"/>
      <c r="CI39" s="28">
        <f t="shared" ref="CI39:CI43" si="557">BE39+BT39</f>
        <v>3107</v>
      </c>
      <c r="CJ39" s="28">
        <f t="shared" ref="CJ39:CJ43" si="558">BF39+BU39</f>
        <v>3025</v>
      </c>
      <c r="CK39" s="28">
        <f t="shared" ref="CK39:CK43" si="559">BG39+BV39</f>
        <v>6132</v>
      </c>
      <c r="CL39" s="117">
        <f t="shared" si="454"/>
        <v>0.65562354927199828</v>
      </c>
      <c r="CM39" s="117">
        <f t="shared" si="218"/>
        <v>0.64844587352625938</v>
      </c>
      <c r="CN39" s="117">
        <f t="shared" si="219"/>
        <v>0.65206295193534669</v>
      </c>
      <c r="CO39" s="92">
        <v>7905</v>
      </c>
      <c r="CP39" s="92">
        <v>7934</v>
      </c>
      <c r="CQ39" s="92">
        <f t="shared" si="220"/>
        <v>15839</v>
      </c>
      <c r="CR39" s="92">
        <v>3614</v>
      </c>
      <c r="CS39" s="92">
        <v>3023</v>
      </c>
      <c r="CT39" s="92">
        <f t="shared" si="221"/>
        <v>6637</v>
      </c>
      <c r="CU39" s="105"/>
      <c r="CV39" s="105"/>
      <c r="CW39" s="105"/>
      <c r="CX39" s="92">
        <f t="shared" si="222"/>
        <v>3614</v>
      </c>
      <c r="CY39" s="92">
        <f t="shared" si="223"/>
        <v>3023</v>
      </c>
      <c r="CZ39" s="92">
        <f t="shared" si="223"/>
        <v>6637</v>
      </c>
      <c r="DA39" s="117">
        <f t="shared" si="273"/>
        <v>0.45717900063251105</v>
      </c>
      <c r="DB39" s="117">
        <f t="shared" si="225"/>
        <v>0.38101840181497354</v>
      </c>
      <c r="DC39" s="117">
        <f t="shared" si="226"/>
        <v>0.41902897910221604</v>
      </c>
      <c r="DD39" s="28">
        <v>139</v>
      </c>
      <c r="DE39" s="28">
        <v>170</v>
      </c>
      <c r="DF39" s="28">
        <f t="shared" si="274"/>
        <v>309</v>
      </c>
      <c r="DG39" s="92">
        <v>29</v>
      </c>
      <c r="DH39" s="92">
        <v>40</v>
      </c>
      <c r="DI39" s="92">
        <f t="shared" si="275"/>
        <v>69</v>
      </c>
      <c r="DJ39" s="105"/>
      <c r="DK39" s="105"/>
      <c r="DL39" s="105"/>
      <c r="DM39" s="92">
        <f t="shared" si="276"/>
        <v>29</v>
      </c>
      <c r="DN39" s="92">
        <f t="shared" si="277"/>
        <v>40</v>
      </c>
      <c r="DO39" s="92">
        <f t="shared" si="277"/>
        <v>69</v>
      </c>
      <c r="DP39" s="116">
        <f t="shared" si="279"/>
        <v>0.20863309352517986</v>
      </c>
      <c r="DQ39" s="116">
        <f t="shared" si="280"/>
        <v>0.23529411764705882</v>
      </c>
      <c r="DR39" s="116">
        <f t="shared" si="281"/>
        <v>0.22330097087378642</v>
      </c>
      <c r="DS39" s="98">
        <f t="shared" si="227"/>
        <v>8044</v>
      </c>
      <c r="DT39" s="98">
        <f t="shared" si="228"/>
        <v>8104</v>
      </c>
      <c r="DU39" s="28">
        <f t="shared" si="229"/>
        <v>16148</v>
      </c>
      <c r="DV39" s="28">
        <f t="shared" si="230"/>
        <v>3643</v>
      </c>
      <c r="DW39" s="28">
        <f t="shared" si="231"/>
        <v>3063</v>
      </c>
      <c r="DX39" s="28">
        <f t="shared" si="232"/>
        <v>6706</v>
      </c>
      <c r="DY39" s="106"/>
      <c r="DZ39" s="106"/>
      <c r="EA39" s="106"/>
      <c r="EB39" s="28">
        <f t="shared" si="233"/>
        <v>3643</v>
      </c>
      <c r="EC39" s="28">
        <f t="shared" si="234"/>
        <v>3063</v>
      </c>
      <c r="ED39" s="28">
        <f t="shared" si="235"/>
        <v>6706</v>
      </c>
      <c r="EE39" s="117">
        <f t="shared" si="459"/>
        <v>0.45288413724515164</v>
      </c>
      <c r="EF39" s="117">
        <f t="shared" si="236"/>
        <v>0.3779615004935834</v>
      </c>
      <c r="EG39" s="117">
        <f t="shared" si="237"/>
        <v>0.4152836264552886</v>
      </c>
      <c r="EH39" s="28">
        <f t="shared" si="238"/>
        <v>14822</v>
      </c>
      <c r="EI39" s="28">
        <f t="shared" si="239"/>
        <v>14467</v>
      </c>
      <c r="EJ39" s="28">
        <f t="shared" si="239"/>
        <v>29289</v>
      </c>
      <c r="EK39" s="28">
        <v>2325</v>
      </c>
      <c r="EL39" s="28">
        <v>2155</v>
      </c>
      <c r="EM39" s="28">
        <f t="shared" si="241"/>
        <v>4480</v>
      </c>
      <c r="EN39" s="100">
        <f t="shared" si="470"/>
        <v>15.686142221022804</v>
      </c>
      <c r="EO39" s="93">
        <f t="shared" si="471"/>
        <v>14.895970138936891</v>
      </c>
      <c r="EP39" s="93">
        <f t="shared" si="472"/>
        <v>15.295844856430742</v>
      </c>
      <c r="EQ39" s="28">
        <f t="shared" si="245"/>
        <v>3107</v>
      </c>
      <c r="ER39" s="28">
        <f t="shared" si="246"/>
        <v>3025</v>
      </c>
      <c r="ES39" s="28">
        <f t="shared" si="246"/>
        <v>6132</v>
      </c>
      <c r="ET39" s="28">
        <v>510</v>
      </c>
      <c r="EU39" s="28">
        <v>456</v>
      </c>
      <c r="EV39" s="28">
        <f t="shared" si="248"/>
        <v>966</v>
      </c>
      <c r="EW39" s="93">
        <f t="shared" si="473"/>
        <v>16.414547795300933</v>
      </c>
      <c r="EX39" s="93">
        <f t="shared" si="474"/>
        <v>15.074380165289256</v>
      </c>
      <c r="EY39" s="93">
        <f t="shared" si="474"/>
        <v>15.753424657534246</v>
      </c>
      <c r="EZ39" s="28">
        <f t="shared" si="252"/>
        <v>3643</v>
      </c>
      <c r="FA39" s="28">
        <f t="shared" si="253"/>
        <v>3063</v>
      </c>
      <c r="FB39" s="28">
        <f t="shared" si="253"/>
        <v>6706</v>
      </c>
      <c r="FC39" s="28">
        <v>128</v>
      </c>
      <c r="FD39" s="28">
        <v>104</v>
      </c>
      <c r="FE39" s="28">
        <f t="shared" si="255"/>
        <v>232</v>
      </c>
      <c r="FF39" s="93">
        <f t="shared" si="475"/>
        <v>3.5135877024430413</v>
      </c>
      <c r="FG39" s="93">
        <f t="shared" si="476"/>
        <v>3.3953640222004569</v>
      </c>
      <c r="FH39" s="93">
        <f t="shared" si="477"/>
        <v>3.4595884282731881</v>
      </c>
    </row>
    <row r="40" spans="1:164" ht="27" customHeight="1" x14ac:dyDescent="0.25">
      <c r="A40" s="94">
        <v>31</v>
      </c>
      <c r="B40" s="118" t="s">
        <v>168</v>
      </c>
      <c r="C40" s="75">
        <v>1520426</v>
      </c>
      <c r="D40" s="75">
        <v>1338045</v>
      </c>
      <c r="E40" s="75">
        <f>C40+D40</f>
        <v>2858471</v>
      </c>
      <c r="F40" s="75">
        <v>1167948</v>
      </c>
      <c r="G40" s="75">
        <v>1159662</v>
      </c>
      <c r="H40" s="75">
        <f t="shared" si="183"/>
        <v>2327610</v>
      </c>
      <c r="I40" s="75">
        <v>181</v>
      </c>
      <c r="J40" s="75">
        <v>64</v>
      </c>
      <c r="K40" s="75">
        <f t="shared" si="443"/>
        <v>245</v>
      </c>
      <c r="L40" s="97">
        <f t="shared" si="460"/>
        <v>1168129</v>
      </c>
      <c r="M40" s="98">
        <f t="shared" si="461"/>
        <v>1159726</v>
      </c>
      <c r="N40" s="98">
        <f t="shared" si="462"/>
        <v>2327855</v>
      </c>
      <c r="O40" s="117">
        <f t="shared" si="187"/>
        <v>0.76829059750359441</v>
      </c>
      <c r="P40" s="117">
        <f t="shared" si="188"/>
        <v>0.86673168690141211</v>
      </c>
      <c r="Q40" s="117">
        <f t="shared" si="189"/>
        <v>0.8143706897848535</v>
      </c>
      <c r="R40" s="28">
        <v>113777</v>
      </c>
      <c r="S40" s="28">
        <v>26244</v>
      </c>
      <c r="T40" s="28">
        <f t="shared" si="478"/>
        <v>140021</v>
      </c>
      <c r="U40" s="28">
        <v>86223</v>
      </c>
      <c r="V40" s="28">
        <v>20409</v>
      </c>
      <c r="W40" s="28">
        <f t="shared" si="258"/>
        <v>106632</v>
      </c>
      <c r="X40" s="28">
        <v>25</v>
      </c>
      <c r="Y40" s="28">
        <v>3</v>
      </c>
      <c r="Z40" s="28">
        <f t="shared" si="483"/>
        <v>28</v>
      </c>
      <c r="AA40" s="28">
        <f t="shared" si="259"/>
        <v>86248</v>
      </c>
      <c r="AB40" s="28">
        <f t="shared" si="260"/>
        <v>20412</v>
      </c>
      <c r="AC40" s="28">
        <f t="shared" si="261"/>
        <v>106660</v>
      </c>
      <c r="AD40" s="117">
        <f t="shared" ref="AD40:AD43" si="560">AA40/R40</f>
        <v>0.75804424444307728</v>
      </c>
      <c r="AE40" s="117">
        <f t="shared" ref="AE40:AE43" si="561">AB40/S40</f>
        <v>0.77777777777777779</v>
      </c>
      <c r="AF40" s="117">
        <f t="shared" si="481"/>
        <v>0.76174288142492907</v>
      </c>
      <c r="AG40" s="28">
        <f t="shared" si="190"/>
        <v>1634203</v>
      </c>
      <c r="AH40" s="28">
        <f t="shared" si="191"/>
        <v>1364289</v>
      </c>
      <c r="AI40" s="28">
        <f t="shared" si="191"/>
        <v>2998492</v>
      </c>
      <c r="AJ40" s="28">
        <f t="shared" si="193"/>
        <v>1254171</v>
      </c>
      <c r="AK40" s="28">
        <f t="shared" si="194"/>
        <v>1180071</v>
      </c>
      <c r="AL40" s="28">
        <f t="shared" si="194"/>
        <v>2434242</v>
      </c>
      <c r="AM40" s="28">
        <f t="shared" si="447"/>
        <v>206</v>
      </c>
      <c r="AN40" s="28">
        <f t="shared" si="265"/>
        <v>67</v>
      </c>
      <c r="AO40" s="28">
        <f t="shared" si="265"/>
        <v>273</v>
      </c>
      <c r="AP40" s="28">
        <f t="shared" si="195"/>
        <v>1254377</v>
      </c>
      <c r="AQ40" s="28">
        <f t="shared" si="196"/>
        <v>1180138</v>
      </c>
      <c r="AR40" s="28">
        <f t="shared" si="196"/>
        <v>2434515</v>
      </c>
      <c r="AS40" s="117">
        <f t="shared" si="197"/>
        <v>0.76757722265838457</v>
      </c>
      <c r="AT40" s="117">
        <f t="shared" si="198"/>
        <v>0.86502053450551897</v>
      </c>
      <c r="AU40" s="117">
        <f t="shared" si="199"/>
        <v>0.81191312166248897</v>
      </c>
      <c r="AV40" s="92">
        <v>345966</v>
      </c>
      <c r="AW40" s="92">
        <v>301752</v>
      </c>
      <c r="AX40" s="92">
        <f t="shared" si="200"/>
        <v>647718</v>
      </c>
      <c r="AY40" s="92">
        <v>242066</v>
      </c>
      <c r="AZ40" s="92">
        <v>238925</v>
      </c>
      <c r="BA40" s="92">
        <f t="shared" si="201"/>
        <v>480991</v>
      </c>
      <c r="BB40" s="92">
        <v>27</v>
      </c>
      <c r="BC40" s="92">
        <v>16</v>
      </c>
      <c r="BD40" s="92">
        <f t="shared" si="448"/>
        <v>43</v>
      </c>
      <c r="BE40" s="92">
        <f t="shared" si="202"/>
        <v>242093</v>
      </c>
      <c r="BF40" s="92">
        <f t="shared" si="203"/>
        <v>238941</v>
      </c>
      <c r="BG40" s="92">
        <f t="shared" si="203"/>
        <v>481034</v>
      </c>
      <c r="BH40" s="117">
        <f t="shared" si="205"/>
        <v>0.69975951394067626</v>
      </c>
      <c r="BI40" s="117">
        <f t="shared" si="206"/>
        <v>0.79184562157003102</v>
      </c>
      <c r="BJ40" s="117">
        <f t="shared" si="207"/>
        <v>0.74265961421482807</v>
      </c>
      <c r="BK40" s="28">
        <v>20183</v>
      </c>
      <c r="BL40" s="28">
        <v>4238</v>
      </c>
      <c r="BM40" s="28">
        <f t="shared" si="266"/>
        <v>24421</v>
      </c>
      <c r="BN40" s="92">
        <v>12768</v>
      </c>
      <c r="BO40" s="92">
        <v>2781</v>
      </c>
      <c r="BP40" s="92">
        <f t="shared" si="267"/>
        <v>15549</v>
      </c>
      <c r="BQ40" s="92">
        <v>5</v>
      </c>
      <c r="BR40" s="92">
        <v>1</v>
      </c>
      <c r="BS40" s="92">
        <f t="shared" si="484"/>
        <v>6</v>
      </c>
      <c r="BT40" s="92">
        <f t="shared" si="482"/>
        <v>12773</v>
      </c>
      <c r="BU40" s="92">
        <f t="shared" si="268"/>
        <v>2782</v>
      </c>
      <c r="BV40" s="92">
        <f t="shared" si="268"/>
        <v>15555</v>
      </c>
      <c r="BW40" s="117">
        <f t="shared" si="270"/>
        <v>0.63285933706584752</v>
      </c>
      <c r="BX40" s="117">
        <f t="shared" si="271"/>
        <v>0.65644171779141103</v>
      </c>
      <c r="BY40" s="117">
        <f t="shared" si="272"/>
        <v>0.63695180377543914</v>
      </c>
      <c r="BZ40" s="98">
        <f t="shared" si="554"/>
        <v>366149</v>
      </c>
      <c r="CA40" s="98">
        <f t="shared" si="555"/>
        <v>305990</v>
      </c>
      <c r="CB40" s="98">
        <f t="shared" si="556"/>
        <v>672139</v>
      </c>
      <c r="CC40" s="28">
        <f t="shared" si="211"/>
        <v>254834</v>
      </c>
      <c r="CD40" s="28">
        <f t="shared" si="212"/>
        <v>241706</v>
      </c>
      <c r="CE40" s="28">
        <f t="shared" si="213"/>
        <v>496540</v>
      </c>
      <c r="CF40" s="28">
        <f t="shared" si="449"/>
        <v>32</v>
      </c>
      <c r="CG40" s="28">
        <f t="shared" si="450"/>
        <v>17</v>
      </c>
      <c r="CH40" s="28">
        <f t="shared" si="451"/>
        <v>49</v>
      </c>
      <c r="CI40" s="28">
        <f t="shared" si="557"/>
        <v>254866</v>
      </c>
      <c r="CJ40" s="28">
        <f t="shared" si="558"/>
        <v>241723</v>
      </c>
      <c r="CK40" s="28">
        <f t="shared" si="559"/>
        <v>496589</v>
      </c>
      <c r="CL40" s="117">
        <f t="shared" si="454"/>
        <v>0.6960718177572518</v>
      </c>
      <c r="CM40" s="117">
        <f t="shared" si="218"/>
        <v>0.78997026046602825</v>
      </c>
      <c r="CN40" s="117">
        <f t="shared" si="219"/>
        <v>0.7388189050181585</v>
      </c>
      <c r="CO40" s="92">
        <v>11391</v>
      </c>
      <c r="CP40" s="92">
        <v>9445</v>
      </c>
      <c r="CQ40" s="92">
        <f t="shared" si="220"/>
        <v>20836</v>
      </c>
      <c r="CR40" s="92">
        <v>8118</v>
      </c>
      <c r="CS40" s="92">
        <v>7552</v>
      </c>
      <c r="CT40" s="92">
        <f t="shared" si="221"/>
        <v>15670</v>
      </c>
      <c r="CU40" s="92">
        <v>1</v>
      </c>
      <c r="CV40" s="92">
        <v>1</v>
      </c>
      <c r="CW40" s="92">
        <f t="shared" si="455"/>
        <v>2</v>
      </c>
      <c r="CX40" s="92">
        <f t="shared" si="222"/>
        <v>8119</v>
      </c>
      <c r="CY40" s="92">
        <f t="shared" si="223"/>
        <v>7553</v>
      </c>
      <c r="CZ40" s="92">
        <f t="shared" si="223"/>
        <v>15672</v>
      </c>
      <c r="DA40" s="117">
        <f t="shared" si="273"/>
        <v>0.71275568431217629</v>
      </c>
      <c r="DB40" s="117">
        <f t="shared" si="225"/>
        <v>0.79968237162519851</v>
      </c>
      <c r="DC40" s="117">
        <f t="shared" si="226"/>
        <v>0.75215972355538496</v>
      </c>
      <c r="DD40" s="28">
        <v>1207</v>
      </c>
      <c r="DE40" s="28">
        <v>259</v>
      </c>
      <c r="DF40" s="28">
        <f t="shared" si="274"/>
        <v>1466</v>
      </c>
      <c r="DG40" s="92">
        <v>808</v>
      </c>
      <c r="DH40" s="92">
        <v>177</v>
      </c>
      <c r="DI40" s="92">
        <f t="shared" si="275"/>
        <v>985</v>
      </c>
      <c r="DJ40" s="92">
        <v>1</v>
      </c>
      <c r="DK40" s="92">
        <v>0</v>
      </c>
      <c r="DL40" s="92">
        <f t="shared" si="488"/>
        <v>1</v>
      </c>
      <c r="DM40" s="92">
        <f t="shared" si="276"/>
        <v>809</v>
      </c>
      <c r="DN40" s="92">
        <f t="shared" si="277"/>
        <v>177</v>
      </c>
      <c r="DO40" s="92">
        <f t="shared" si="277"/>
        <v>986</v>
      </c>
      <c r="DP40" s="116">
        <f t="shared" si="279"/>
        <v>0.67025683512841761</v>
      </c>
      <c r="DQ40" s="116">
        <f t="shared" si="280"/>
        <v>0.68339768339768336</v>
      </c>
      <c r="DR40" s="116">
        <f t="shared" si="281"/>
        <v>0.67257844474761252</v>
      </c>
      <c r="DS40" s="98">
        <f t="shared" si="227"/>
        <v>12598</v>
      </c>
      <c r="DT40" s="98">
        <f t="shared" si="228"/>
        <v>9704</v>
      </c>
      <c r="DU40" s="28">
        <f t="shared" si="229"/>
        <v>22302</v>
      </c>
      <c r="DV40" s="28">
        <f t="shared" si="230"/>
        <v>8926</v>
      </c>
      <c r="DW40" s="28">
        <f t="shared" si="231"/>
        <v>7729</v>
      </c>
      <c r="DX40" s="28">
        <f t="shared" si="232"/>
        <v>16655</v>
      </c>
      <c r="DY40" s="28">
        <f t="shared" si="456"/>
        <v>2</v>
      </c>
      <c r="DZ40" s="28">
        <f t="shared" si="457"/>
        <v>1</v>
      </c>
      <c r="EA40" s="28">
        <f t="shared" si="458"/>
        <v>3</v>
      </c>
      <c r="EB40" s="28">
        <f t="shared" si="233"/>
        <v>8928</v>
      </c>
      <c r="EC40" s="28">
        <f t="shared" si="234"/>
        <v>7730</v>
      </c>
      <c r="ED40" s="28">
        <f t="shared" si="235"/>
        <v>16658</v>
      </c>
      <c r="EE40" s="117">
        <f t="shared" si="459"/>
        <v>0.7086839180822353</v>
      </c>
      <c r="EF40" s="117">
        <f t="shared" si="236"/>
        <v>0.79657873042044514</v>
      </c>
      <c r="EG40" s="117">
        <f t="shared" si="237"/>
        <v>0.74692852658954356</v>
      </c>
      <c r="EH40" s="28">
        <f t="shared" si="238"/>
        <v>1254377</v>
      </c>
      <c r="EI40" s="28">
        <f t="shared" si="239"/>
        <v>1180138</v>
      </c>
      <c r="EJ40" s="28">
        <f t="shared" si="239"/>
        <v>2434515</v>
      </c>
      <c r="EK40" s="28">
        <v>823632</v>
      </c>
      <c r="EL40" s="28">
        <v>887607</v>
      </c>
      <c r="EM40" s="28">
        <f t="shared" si="241"/>
        <v>1711239</v>
      </c>
      <c r="EN40" s="100">
        <f t="shared" si="470"/>
        <v>65.66064269354429</v>
      </c>
      <c r="EO40" s="93">
        <f t="shared" si="471"/>
        <v>75.212136207799432</v>
      </c>
      <c r="EP40" s="93">
        <f t="shared" si="472"/>
        <v>70.290756064349566</v>
      </c>
      <c r="EQ40" s="28">
        <f t="shared" si="245"/>
        <v>254866</v>
      </c>
      <c r="ER40" s="28">
        <f t="shared" si="246"/>
        <v>241723</v>
      </c>
      <c r="ES40" s="28">
        <f t="shared" si="246"/>
        <v>496589</v>
      </c>
      <c r="ET40" s="28">
        <v>154120</v>
      </c>
      <c r="EU40" s="28">
        <v>164020</v>
      </c>
      <c r="EV40" s="28">
        <f t="shared" si="248"/>
        <v>318140</v>
      </c>
      <c r="EW40" s="93">
        <f t="shared" si="473"/>
        <v>60.470992600032957</v>
      </c>
      <c r="EX40" s="93">
        <f t="shared" si="474"/>
        <v>67.854527703197462</v>
      </c>
      <c r="EY40" s="93">
        <f t="shared" si="474"/>
        <v>64.065051783265432</v>
      </c>
      <c r="EZ40" s="28">
        <f t="shared" si="252"/>
        <v>8928</v>
      </c>
      <c r="FA40" s="28">
        <f t="shared" si="253"/>
        <v>7730</v>
      </c>
      <c r="FB40" s="28">
        <f t="shared" si="253"/>
        <v>16658</v>
      </c>
      <c r="FC40" s="28">
        <v>6079</v>
      </c>
      <c r="FD40" s="28">
        <v>5450</v>
      </c>
      <c r="FE40" s="28">
        <f t="shared" si="255"/>
        <v>11529</v>
      </c>
      <c r="FF40" s="93">
        <f t="shared" si="475"/>
        <v>68.089157706093189</v>
      </c>
      <c r="FG40" s="93">
        <f t="shared" si="476"/>
        <v>70.504527813712812</v>
      </c>
      <c r="FH40" s="93">
        <f t="shared" si="477"/>
        <v>69.20998919438108</v>
      </c>
    </row>
    <row r="41" spans="1:164" ht="27" customHeight="1" x14ac:dyDescent="0.25">
      <c r="A41" s="94">
        <v>32</v>
      </c>
      <c r="B41" s="118" t="s">
        <v>169</v>
      </c>
      <c r="C41" s="75">
        <v>71473</v>
      </c>
      <c r="D41" s="75">
        <v>73962</v>
      </c>
      <c r="E41" s="75">
        <f>C41+D41</f>
        <v>145435</v>
      </c>
      <c r="F41" s="75">
        <v>50328</v>
      </c>
      <c r="G41" s="75">
        <v>58810</v>
      </c>
      <c r="H41" s="75">
        <f t="shared" si="183"/>
        <v>109138</v>
      </c>
      <c r="I41" s="105"/>
      <c r="J41" s="105"/>
      <c r="K41" s="105"/>
      <c r="L41" s="97">
        <f t="shared" si="460"/>
        <v>50328</v>
      </c>
      <c r="M41" s="98">
        <f t="shared" si="461"/>
        <v>58810</v>
      </c>
      <c r="N41" s="98">
        <f t="shared" si="462"/>
        <v>109138</v>
      </c>
      <c r="O41" s="117">
        <f t="shared" si="187"/>
        <v>0.70415401620192242</v>
      </c>
      <c r="P41" s="117">
        <f t="shared" si="188"/>
        <v>0.79513804386036069</v>
      </c>
      <c r="Q41" s="117">
        <f t="shared" si="189"/>
        <v>0.75042458830405334</v>
      </c>
      <c r="R41" s="28">
        <v>3141</v>
      </c>
      <c r="S41" s="28">
        <v>1997</v>
      </c>
      <c r="T41" s="28">
        <f t="shared" si="478"/>
        <v>5138</v>
      </c>
      <c r="U41" s="28">
        <v>977</v>
      </c>
      <c r="V41" s="28">
        <v>826</v>
      </c>
      <c r="W41" s="28">
        <f t="shared" si="258"/>
        <v>1803</v>
      </c>
      <c r="X41" s="105"/>
      <c r="Y41" s="105"/>
      <c r="Z41" s="105"/>
      <c r="AA41" s="28">
        <f t="shared" si="259"/>
        <v>977</v>
      </c>
      <c r="AB41" s="28">
        <f t="shared" si="260"/>
        <v>826</v>
      </c>
      <c r="AC41" s="28">
        <f t="shared" si="261"/>
        <v>1803</v>
      </c>
      <c r="AD41" s="117">
        <f t="shared" si="560"/>
        <v>0.31104743712193567</v>
      </c>
      <c r="AE41" s="117">
        <f t="shared" si="561"/>
        <v>0.41362043064596893</v>
      </c>
      <c r="AF41" s="117">
        <f t="shared" si="481"/>
        <v>0.35091475282210977</v>
      </c>
      <c r="AG41" s="28">
        <f t="shared" si="190"/>
        <v>74614</v>
      </c>
      <c r="AH41" s="28">
        <f t="shared" si="191"/>
        <v>75959</v>
      </c>
      <c r="AI41" s="28">
        <f t="shared" si="191"/>
        <v>150573</v>
      </c>
      <c r="AJ41" s="28">
        <f t="shared" si="193"/>
        <v>51305</v>
      </c>
      <c r="AK41" s="28">
        <f t="shared" si="194"/>
        <v>59636</v>
      </c>
      <c r="AL41" s="28">
        <f t="shared" si="194"/>
        <v>110941</v>
      </c>
      <c r="AM41" s="105"/>
      <c r="AN41" s="105"/>
      <c r="AO41" s="105"/>
      <c r="AP41" s="28">
        <f t="shared" si="195"/>
        <v>51305</v>
      </c>
      <c r="AQ41" s="28">
        <f t="shared" si="196"/>
        <v>59636</v>
      </c>
      <c r="AR41" s="28">
        <f t="shared" si="196"/>
        <v>110941</v>
      </c>
      <c r="AS41" s="117">
        <f t="shared" si="197"/>
        <v>0.68760554319564693</v>
      </c>
      <c r="AT41" s="117">
        <f t="shared" si="198"/>
        <v>0.78510775549967748</v>
      </c>
      <c r="AU41" s="117">
        <f t="shared" si="199"/>
        <v>0.73679212076534306</v>
      </c>
      <c r="AV41" s="92">
        <v>20476</v>
      </c>
      <c r="AW41" s="92">
        <v>21219</v>
      </c>
      <c r="AX41" s="92">
        <f t="shared" si="200"/>
        <v>41695</v>
      </c>
      <c r="AY41" s="92">
        <v>12974</v>
      </c>
      <c r="AZ41" s="92">
        <v>15369</v>
      </c>
      <c r="BA41" s="92">
        <f t="shared" si="201"/>
        <v>28343</v>
      </c>
      <c r="BB41" s="105"/>
      <c r="BC41" s="105"/>
      <c r="BD41" s="105"/>
      <c r="BE41" s="92">
        <f t="shared" si="202"/>
        <v>12974</v>
      </c>
      <c r="BF41" s="92">
        <f t="shared" si="203"/>
        <v>15369</v>
      </c>
      <c r="BG41" s="92">
        <f t="shared" si="203"/>
        <v>28343</v>
      </c>
      <c r="BH41" s="117">
        <f t="shared" si="205"/>
        <v>0.6336198476264896</v>
      </c>
      <c r="BI41" s="117">
        <f t="shared" si="206"/>
        <v>0.72430369008907114</v>
      </c>
      <c r="BJ41" s="117">
        <f t="shared" si="207"/>
        <v>0.6797697565655354</v>
      </c>
      <c r="BK41" s="31">
        <v>1207</v>
      </c>
      <c r="BL41" s="31">
        <v>782</v>
      </c>
      <c r="BM41" s="28">
        <f t="shared" si="266"/>
        <v>1989</v>
      </c>
      <c r="BN41" s="92">
        <v>351</v>
      </c>
      <c r="BO41" s="92">
        <v>279</v>
      </c>
      <c r="BP41" s="92">
        <f t="shared" si="267"/>
        <v>630</v>
      </c>
      <c r="BQ41" s="105"/>
      <c r="BR41" s="105"/>
      <c r="BS41" s="105"/>
      <c r="BT41" s="92">
        <f t="shared" si="482"/>
        <v>351</v>
      </c>
      <c r="BU41" s="92">
        <f t="shared" si="268"/>
        <v>279</v>
      </c>
      <c r="BV41" s="92">
        <f t="shared" si="268"/>
        <v>630</v>
      </c>
      <c r="BW41" s="117">
        <f t="shared" si="270"/>
        <v>0.29080364540182269</v>
      </c>
      <c r="BX41" s="117">
        <f t="shared" si="271"/>
        <v>0.35677749360613809</v>
      </c>
      <c r="BY41" s="117">
        <f t="shared" si="272"/>
        <v>0.31674208144796379</v>
      </c>
      <c r="BZ41" s="98">
        <f t="shared" si="554"/>
        <v>21683</v>
      </c>
      <c r="CA41" s="98">
        <f t="shared" si="555"/>
        <v>22001</v>
      </c>
      <c r="CB41" s="98">
        <f t="shared" si="556"/>
        <v>43684</v>
      </c>
      <c r="CC41" s="28">
        <f t="shared" si="211"/>
        <v>13325</v>
      </c>
      <c r="CD41" s="28">
        <f t="shared" si="212"/>
        <v>15648</v>
      </c>
      <c r="CE41" s="28">
        <f t="shared" si="213"/>
        <v>28973</v>
      </c>
      <c r="CF41" s="105"/>
      <c r="CG41" s="105"/>
      <c r="CH41" s="105"/>
      <c r="CI41" s="28">
        <f t="shared" si="557"/>
        <v>13325</v>
      </c>
      <c r="CJ41" s="28">
        <f t="shared" si="558"/>
        <v>15648</v>
      </c>
      <c r="CK41" s="28">
        <f t="shared" si="559"/>
        <v>28973</v>
      </c>
      <c r="CL41" s="117">
        <f t="shared" si="454"/>
        <v>0.61453673384679242</v>
      </c>
      <c r="CM41" s="117">
        <f t="shared" si="218"/>
        <v>0.71124039816371987</v>
      </c>
      <c r="CN41" s="117">
        <f t="shared" si="219"/>
        <v>0.66324054573756985</v>
      </c>
      <c r="CO41" s="92">
        <v>2455</v>
      </c>
      <c r="CP41" s="92">
        <v>2676</v>
      </c>
      <c r="CQ41" s="92">
        <f t="shared" si="220"/>
        <v>5131</v>
      </c>
      <c r="CR41" s="92">
        <v>1711</v>
      </c>
      <c r="CS41" s="92">
        <v>2124</v>
      </c>
      <c r="CT41" s="92">
        <f t="shared" si="221"/>
        <v>3835</v>
      </c>
      <c r="CU41" s="105"/>
      <c r="CV41" s="105"/>
      <c r="CW41" s="105"/>
      <c r="CX41" s="92">
        <f t="shared" si="222"/>
        <v>1711</v>
      </c>
      <c r="CY41" s="92">
        <f t="shared" si="223"/>
        <v>2124</v>
      </c>
      <c r="CZ41" s="92">
        <f t="shared" si="223"/>
        <v>3835</v>
      </c>
      <c r="DA41" s="117">
        <f t="shared" si="273"/>
        <v>0.69694501018329935</v>
      </c>
      <c r="DB41" s="117">
        <f t="shared" si="225"/>
        <v>0.79372197309417036</v>
      </c>
      <c r="DC41" s="117">
        <f t="shared" si="226"/>
        <v>0.74741765737672972</v>
      </c>
      <c r="DD41" s="31">
        <v>85</v>
      </c>
      <c r="DE41" s="31">
        <v>71</v>
      </c>
      <c r="DF41" s="28">
        <f t="shared" si="274"/>
        <v>156</v>
      </c>
      <c r="DG41" s="92">
        <v>26</v>
      </c>
      <c r="DH41" s="92">
        <v>33</v>
      </c>
      <c r="DI41" s="92">
        <f t="shared" si="275"/>
        <v>59</v>
      </c>
      <c r="DJ41" s="105"/>
      <c r="DK41" s="105"/>
      <c r="DL41" s="105"/>
      <c r="DM41" s="92">
        <f t="shared" si="276"/>
        <v>26</v>
      </c>
      <c r="DN41" s="92">
        <f t="shared" si="277"/>
        <v>33</v>
      </c>
      <c r="DO41" s="92">
        <f t="shared" si="277"/>
        <v>59</v>
      </c>
      <c r="DP41" s="116">
        <f t="shared" si="279"/>
        <v>0.30588235294117649</v>
      </c>
      <c r="DQ41" s="116">
        <f t="shared" si="280"/>
        <v>0.46478873239436619</v>
      </c>
      <c r="DR41" s="116">
        <f t="shared" si="281"/>
        <v>0.37820512820512819</v>
      </c>
      <c r="DS41" s="98">
        <f t="shared" si="227"/>
        <v>2540</v>
      </c>
      <c r="DT41" s="98">
        <f t="shared" si="228"/>
        <v>2747</v>
      </c>
      <c r="DU41" s="28">
        <f t="shared" si="229"/>
        <v>5287</v>
      </c>
      <c r="DV41" s="28">
        <f t="shared" si="230"/>
        <v>1737</v>
      </c>
      <c r="DW41" s="28">
        <f t="shared" si="231"/>
        <v>2157</v>
      </c>
      <c r="DX41" s="28">
        <f t="shared" si="232"/>
        <v>3894</v>
      </c>
      <c r="DY41" s="105"/>
      <c r="DZ41" s="105"/>
      <c r="EA41" s="105"/>
      <c r="EB41" s="28">
        <f t="shared" si="233"/>
        <v>1737</v>
      </c>
      <c r="EC41" s="28">
        <f t="shared" si="234"/>
        <v>2157</v>
      </c>
      <c r="ED41" s="28">
        <f t="shared" si="235"/>
        <v>3894</v>
      </c>
      <c r="EE41" s="117">
        <f t="shared" si="459"/>
        <v>0.68385826771653546</v>
      </c>
      <c r="EF41" s="117">
        <f t="shared" si="236"/>
        <v>0.78522024026210413</v>
      </c>
      <c r="EG41" s="117">
        <f t="shared" si="237"/>
        <v>0.7365235483260828</v>
      </c>
      <c r="EH41" s="28">
        <f t="shared" si="238"/>
        <v>51305</v>
      </c>
      <c r="EI41" s="28">
        <f t="shared" si="239"/>
        <v>59636</v>
      </c>
      <c r="EJ41" s="28">
        <f t="shared" si="239"/>
        <v>110941</v>
      </c>
      <c r="EK41" s="32">
        <v>12783</v>
      </c>
      <c r="EL41" s="32">
        <v>18737</v>
      </c>
      <c r="EM41" s="28">
        <f t="shared" si="241"/>
        <v>31520</v>
      </c>
      <c r="EN41" s="100">
        <f t="shared" si="470"/>
        <v>24.915700224149692</v>
      </c>
      <c r="EO41" s="93">
        <f t="shared" si="471"/>
        <v>31.418941578912065</v>
      </c>
      <c r="EP41" s="93">
        <f t="shared" si="472"/>
        <v>28.41149800344327</v>
      </c>
      <c r="EQ41" s="28">
        <f t="shared" si="245"/>
        <v>13325</v>
      </c>
      <c r="ER41" s="28">
        <f t="shared" si="246"/>
        <v>15648</v>
      </c>
      <c r="ES41" s="28">
        <f t="shared" si="246"/>
        <v>28973</v>
      </c>
      <c r="ET41" s="32">
        <v>2194</v>
      </c>
      <c r="EU41" s="32">
        <v>3389</v>
      </c>
      <c r="EV41" s="28">
        <f t="shared" si="248"/>
        <v>5583</v>
      </c>
      <c r="EW41" s="93">
        <f t="shared" si="473"/>
        <v>16.465290806754222</v>
      </c>
      <c r="EX41" s="93">
        <f t="shared" si="474"/>
        <v>21.657719836400819</v>
      </c>
      <c r="EY41" s="93">
        <f t="shared" si="474"/>
        <v>19.269664860387255</v>
      </c>
      <c r="EZ41" s="28">
        <f t="shared" si="252"/>
        <v>1737</v>
      </c>
      <c r="FA41" s="28">
        <f t="shared" si="253"/>
        <v>2157</v>
      </c>
      <c r="FB41" s="28">
        <f t="shared" si="253"/>
        <v>3894</v>
      </c>
      <c r="FC41" s="32">
        <v>454</v>
      </c>
      <c r="FD41" s="32">
        <v>632</v>
      </c>
      <c r="FE41" s="28">
        <f t="shared" si="255"/>
        <v>1086</v>
      </c>
      <c r="FF41" s="93">
        <f t="shared" si="475"/>
        <v>26.137017846862406</v>
      </c>
      <c r="FG41" s="93">
        <f t="shared" si="476"/>
        <v>29.299953639313863</v>
      </c>
      <c r="FH41" s="93">
        <f t="shared" si="477"/>
        <v>27.889060092449924</v>
      </c>
    </row>
    <row r="42" spans="1:164" ht="27" customHeight="1" x14ac:dyDescent="0.25">
      <c r="A42" s="94">
        <v>33</v>
      </c>
      <c r="B42" s="118" t="s">
        <v>314</v>
      </c>
      <c r="C42" s="75">
        <v>473003</v>
      </c>
      <c r="D42" s="75">
        <v>587495</v>
      </c>
      <c r="E42" s="75">
        <f>C42+D42</f>
        <v>1060498</v>
      </c>
      <c r="F42" s="75">
        <v>412446</v>
      </c>
      <c r="G42" s="75">
        <v>462117</v>
      </c>
      <c r="H42" s="75">
        <f>F42+G42</f>
        <v>874563</v>
      </c>
      <c r="I42" s="105"/>
      <c r="J42" s="105"/>
      <c r="K42" s="105"/>
      <c r="L42" s="97">
        <f>F42+I42</f>
        <v>412446</v>
      </c>
      <c r="M42" s="98">
        <f>G42+J42</f>
        <v>462117</v>
      </c>
      <c r="N42" s="98">
        <f>H42+K42</f>
        <v>874563</v>
      </c>
      <c r="O42" s="117">
        <f>L42/C42</f>
        <v>0.87197332786472814</v>
      </c>
      <c r="P42" s="117">
        <f>M42/D42</f>
        <v>0.78658882203252789</v>
      </c>
      <c r="Q42" s="117">
        <f>N42/E42</f>
        <v>0.82467199372370337</v>
      </c>
      <c r="R42" s="28">
        <v>466</v>
      </c>
      <c r="S42" s="28">
        <v>159</v>
      </c>
      <c r="T42" s="28">
        <f>R42+S42</f>
        <v>625</v>
      </c>
      <c r="U42" s="28">
        <v>358</v>
      </c>
      <c r="V42" s="28">
        <v>63</v>
      </c>
      <c r="W42" s="28">
        <f>U42+V42</f>
        <v>421</v>
      </c>
      <c r="X42" s="106"/>
      <c r="Y42" s="106"/>
      <c r="Z42" s="106"/>
      <c r="AA42" s="28">
        <f>U42+X42</f>
        <v>358</v>
      </c>
      <c r="AB42" s="28">
        <f>V42+Y42</f>
        <v>63</v>
      </c>
      <c r="AC42" s="28">
        <f>W42+Z42</f>
        <v>421</v>
      </c>
      <c r="AD42" s="117">
        <f>AA42/R42</f>
        <v>0.76824034334763946</v>
      </c>
      <c r="AE42" s="117">
        <f>AB42/S42</f>
        <v>0.39622641509433965</v>
      </c>
      <c r="AF42" s="117">
        <f>AC42/T42</f>
        <v>0.67359999999999998</v>
      </c>
      <c r="AG42" s="28">
        <f t="shared" ref="AG42:AL42" si="562">C42+R42</f>
        <v>473469</v>
      </c>
      <c r="AH42" s="28">
        <f t="shared" si="562"/>
        <v>587654</v>
      </c>
      <c r="AI42" s="28">
        <f t="shared" si="562"/>
        <v>1061123</v>
      </c>
      <c r="AJ42" s="28">
        <f t="shared" si="562"/>
        <v>412804</v>
      </c>
      <c r="AK42" s="28">
        <f t="shared" si="562"/>
        <v>462180</v>
      </c>
      <c r="AL42" s="28">
        <f t="shared" si="562"/>
        <v>874984</v>
      </c>
      <c r="AM42" s="106"/>
      <c r="AN42" s="106"/>
      <c r="AO42" s="106"/>
      <c r="AP42" s="28">
        <f>L42+AA42</f>
        <v>412804</v>
      </c>
      <c r="AQ42" s="28">
        <f>M42+AB42</f>
        <v>462180</v>
      </c>
      <c r="AR42" s="28">
        <f>N42+AC42</f>
        <v>874984</v>
      </c>
      <c r="AS42" s="117">
        <f>AP42/AG42</f>
        <v>0.87187123127385324</v>
      </c>
      <c r="AT42" s="117">
        <f>AQ42/AH42</f>
        <v>0.78648320270090899</v>
      </c>
      <c r="AU42" s="117">
        <f>AR42/AI42</f>
        <v>0.82458301252540944</v>
      </c>
      <c r="AV42" s="92">
        <v>139447</v>
      </c>
      <c r="AW42" s="92">
        <v>164679</v>
      </c>
      <c r="AX42" s="92">
        <f>+AV42+AW42</f>
        <v>304126</v>
      </c>
      <c r="AY42" s="92">
        <v>116600</v>
      </c>
      <c r="AZ42" s="92">
        <v>122050</v>
      </c>
      <c r="BA42" s="92">
        <f>+AY42+AZ42</f>
        <v>238650</v>
      </c>
      <c r="BB42" s="105"/>
      <c r="BC42" s="105"/>
      <c r="BD42" s="105"/>
      <c r="BE42" s="92">
        <f>+AY42+BB42</f>
        <v>116600</v>
      </c>
      <c r="BF42" s="92">
        <f>+AZ42+BC42</f>
        <v>122050</v>
      </c>
      <c r="BG42" s="92">
        <f>+BA42+BD42</f>
        <v>238650</v>
      </c>
      <c r="BH42" s="117">
        <f>BE42/AV42</f>
        <v>0.83615997475743475</v>
      </c>
      <c r="BI42" s="117">
        <f>BF42/AW42</f>
        <v>0.74113882158623745</v>
      </c>
      <c r="BJ42" s="117">
        <f>BG42/AX42</f>
        <v>0.78470765406443377</v>
      </c>
      <c r="BK42" s="28">
        <v>83</v>
      </c>
      <c r="BL42" s="28">
        <v>22</v>
      </c>
      <c r="BM42" s="28">
        <f>BK42+BL42</f>
        <v>105</v>
      </c>
      <c r="BN42" s="92">
        <v>70</v>
      </c>
      <c r="BO42" s="92">
        <v>10</v>
      </c>
      <c r="BP42" s="92">
        <f>BN42+BO42</f>
        <v>80</v>
      </c>
      <c r="BQ42" s="105"/>
      <c r="BR42" s="105"/>
      <c r="BS42" s="105"/>
      <c r="BT42" s="92">
        <f>+BN42+BQ42</f>
        <v>70</v>
      </c>
      <c r="BU42" s="92">
        <f>+BO42+BR42</f>
        <v>10</v>
      </c>
      <c r="BV42" s="92">
        <f>+BP42+BS42</f>
        <v>80</v>
      </c>
      <c r="BW42" s="117">
        <f>BT42/BK42</f>
        <v>0.84337349397590367</v>
      </c>
      <c r="BX42" s="117">
        <f>BU42/BL42</f>
        <v>0.45454545454545453</v>
      </c>
      <c r="BY42" s="117">
        <f>BV42/BM42</f>
        <v>0.76190476190476186</v>
      </c>
      <c r="BZ42" s="98">
        <f t="shared" ref="BZ42:CE42" si="563">AV42+BK42</f>
        <v>139530</v>
      </c>
      <c r="CA42" s="98">
        <f t="shared" si="563"/>
        <v>164701</v>
      </c>
      <c r="CB42" s="98">
        <f t="shared" si="563"/>
        <v>304231</v>
      </c>
      <c r="CC42" s="28">
        <f t="shared" si="563"/>
        <v>116670</v>
      </c>
      <c r="CD42" s="28">
        <f t="shared" si="563"/>
        <v>122060</v>
      </c>
      <c r="CE42" s="28">
        <f t="shared" si="563"/>
        <v>238730</v>
      </c>
      <c r="CF42" s="106"/>
      <c r="CG42" s="106"/>
      <c r="CH42" s="106"/>
      <c r="CI42" s="28">
        <f>BE42+BT42</f>
        <v>116670</v>
      </c>
      <c r="CJ42" s="28">
        <f>BF42+BU42</f>
        <v>122060</v>
      </c>
      <c r="CK42" s="28">
        <f>BG42+BV42</f>
        <v>238730</v>
      </c>
      <c r="CL42" s="117">
        <f>CI42/BZ42</f>
        <v>0.83616426574930125</v>
      </c>
      <c r="CM42" s="117">
        <f>CJ42/CA42</f>
        <v>0.74110053976600021</v>
      </c>
      <c r="CN42" s="117">
        <f>CK42/CB42</f>
        <v>0.78469978404567586</v>
      </c>
      <c r="CO42" s="92">
        <v>27618</v>
      </c>
      <c r="CP42" s="92">
        <v>35521</v>
      </c>
      <c r="CQ42" s="92">
        <f>+CO42+CP42</f>
        <v>63139</v>
      </c>
      <c r="CR42" s="92">
        <v>20038</v>
      </c>
      <c r="CS42" s="92">
        <v>21529</v>
      </c>
      <c r="CT42" s="92">
        <f>+CR42+CS42</f>
        <v>41567</v>
      </c>
      <c r="CU42" s="105"/>
      <c r="CV42" s="105"/>
      <c r="CW42" s="105"/>
      <c r="CX42" s="92">
        <f>+CR42+CU42</f>
        <v>20038</v>
      </c>
      <c r="CY42" s="92">
        <f>+CS42+CV42</f>
        <v>21529</v>
      </c>
      <c r="CZ42" s="92">
        <f>+CT42+CW42</f>
        <v>41567</v>
      </c>
      <c r="DA42" s="117">
        <f>CX42/CO42</f>
        <v>0.72554131363603447</v>
      </c>
      <c r="DB42" s="117">
        <f>CY42/CP42</f>
        <v>0.60609217082852396</v>
      </c>
      <c r="DC42" s="117">
        <f>CZ42/CQ42</f>
        <v>0.65834112038518189</v>
      </c>
      <c r="DD42" s="28">
        <v>28</v>
      </c>
      <c r="DE42" s="28">
        <v>10</v>
      </c>
      <c r="DF42" s="28">
        <f>DD42+DE42</f>
        <v>38</v>
      </c>
      <c r="DG42" s="92">
        <v>13</v>
      </c>
      <c r="DH42" s="92">
        <v>5</v>
      </c>
      <c r="DI42" s="92">
        <f>+DG42+DH42</f>
        <v>18</v>
      </c>
      <c r="DJ42" s="105"/>
      <c r="DK42" s="105"/>
      <c r="DL42" s="105"/>
      <c r="DM42" s="92">
        <f>+DG42+DJ42</f>
        <v>13</v>
      </c>
      <c r="DN42" s="92">
        <f>+DH42+DK42</f>
        <v>5</v>
      </c>
      <c r="DO42" s="92">
        <f>+DI42+DL42</f>
        <v>18</v>
      </c>
      <c r="DP42" s="116">
        <f>DM42/DD42</f>
        <v>0.4642857142857143</v>
      </c>
      <c r="DQ42" s="116">
        <f>DN42/DE42</f>
        <v>0.5</v>
      </c>
      <c r="DR42" s="116">
        <f>DO42/DF42</f>
        <v>0.47368421052631576</v>
      </c>
      <c r="DS42" s="98">
        <f t="shared" ref="DS42:DX42" si="564">CO42+DD42</f>
        <v>27646</v>
      </c>
      <c r="DT42" s="98">
        <f t="shared" si="564"/>
        <v>35531</v>
      </c>
      <c r="DU42" s="28">
        <f t="shared" si="564"/>
        <v>63177</v>
      </c>
      <c r="DV42" s="28">
        <f t="shared" si="564"/>
        <v>20051</v>
      </c>
      <c r="DW42" s="28">
        <f t="shared" si="564"/>
        <v>21534</v>
      </c>
      <c r="DX42" s="28">
        <f t="shared" si="564"/>
        <v>41585</v>
      </c>
      <c r="DY42" s="106"/>
      <c r="DZ42" s="106"/>
      <c r="EA42" s="106"/>
      <c r="EB42" s="28">
        <f>CX42+DM42</f>
        <v>20051</v>
      </c>
      <c r="EC42" s="28">
        <f>CY42+DN42</f>
        <v>21534</v>
      </c>
      <c r="ED42" s="28">
        <f>CZ42+DO42</f>
        <v>41585</v>
      </c>
      <c r="EE42" s="117">
        <f>EB42/DS42</f>
        <v>0.72527671272516825</v>
      </c>
      <c r="EF42" s="117">
        <f>EC42/DT42</f>
        <v>0.60606231178407588</v>
      </c>
      <c r="EG42" s="117">
        <f>ED42/DU42</f>
        <v>0.65823005207591367</v>
      </c>
      <c r="EH42" s="28">
        <f>+AP42</f>
        <v>412804</v>
      </c>
      <c r="EI42" s="28">
        <f>+AQ42</f>
        <v>462180</v>
      </c>
      <c r="EJ42" s="28">
        <f>+AR42</f>
        <v>874984</v>
      </c>
      <c r="EK42" s="28">
        <f>27813+36860</f>
        <v>64673</v>
      </c>
      <c r="EL42" s="28">
        <f>20599+33974</f>
        <v>54573</v>
      </c>
      <c r="EM42" s="28">
        <f>EK42+EL42</f>
        <v>119246</v>
      </c>
      <c r="EN42" s="100">
        <f>+EK42*100/EH42</f>
        <v>15.666757105066811</v>
      </c>
      <c r="EO42" s="93">
        <f>+EL42*100/EI42</f>
        <v>11.807737245229131</v>
      </c>
      <c r="EP42" s="93">
        <f>+EM42*100/EJ42</f>
        <v>13.628363490075246</v>
      </c>
      <c r="EQ42" s="28">
        <f>+CI42</f>
        <v>116670</v>
      </c>
      <c r="ER42" s="28">
        <f>+CJ42</f>
        <v>122060</v>
      </c>
      <c r="ES42" s="28">
        <f>+CK42</f>
        <v>238730</v>
      </c>
      <c r="ET42" s="28">
        <f>4152+7165</f>
        <v>11317</v>
      </c>
      <c r="EU42" s="28">
        <f>2688+5667</f>
        <v>8355</v>
      </c>
      <c r="EV42" s="28">
        <f>ET42+EU42</f>
        <v>19672</v>
      </c>
      <c r="EW42" s="93">
        <f>+ET42*100/EQ42</f>
        <v>9.7000085711836803</v>
      </c>
      <c r="EX42" s="93">
        <f>+EU42*100/ER42</f>
        <v>6.8449942651155169</v>
      </c>
      <c r="EY42" s="93">
        <f>+EV42*100/ES42</f>
        <v>8.2402714363506888</v>
      </c>
      <c r="EZ42" s="28">
        <f>+EB42</f>
        <v>20051</v>
      </c>
      <c r="FA42" s="28">
        <f>+EC42</f>
        <v>21534</v>
      </c>
      <c r="FB42" s="28">
        <f>+ED42</f>
        <v>41585</v>
      </c>
      <c r="FC42" s="28">
        <f>253+722</f>
        <v>975</v>
      </c>
      <c r="FD42" s="28">
        <f>180+517</f>
        <v>697</v>
      </c>
      <c r="FE42" s="28">
        <f>FC42+FD42</f>
        <v>1672</v>
      </c>
      <c r="FF42" s="93">
        <f>+FC42*100/EZ42</f>
        <v>4.8626003690588995</v>
      </c>
      <c r="FG42" s="93">
        <f>+FD42*100/FA42</f>
        <v>3.2367418965357109</v>
      </c>
      <c r="FH42" s="93">
        <f>+FE42*100/FB42</f>
        <v>4.0206805338463392</v>
      </c>
    </row>
    <row r="43" spans="1:164" ht="27" customHeight="1" x14ac:dyDescent="0.25">
      <c r="A43" s="94">
        <v>34</v>
      </c>
      <c r="B43" s="118" t="s">
        <v>171</v>
      </c>
      <c r="C43" s="75">
        <v>14322</v>
      </c>
      <c r="D43" s="75">
        <v>35489</v>
      </c>
      <c r="E43" s="75">
        <f t="shared" si="182"/>
        <v>49811</v>
      </c>
      <c r="F43" s="75">
        <v>11937</v>
      </c>
      <c r="G43" s="75">
        <v>26315</v>
      </c>
      <c r="H43" s="75">
        <f t="shared" si="183"/>
        <v>38252</v>
      </c>
      <c r="I43" s="105"/>
      <c r="J43" s="105"/>
      <c r="K43" s="105"/>
      <c r="L43" s="97">
        <f t="shared" si="460"/>
        <v>11937</v>
      </c>
      <c r="M43" s="98">
        <f t="shared" si="461"/>
        <v>26315</v>
      </c>
      <c r="N43" s="98">
        <f t="shared" si="462"/>
        <v>38252</v>
      </c>
      <c r="O43" s="117">
        <f t="shared" ref="O43:O50" si="565">L43/C43</f>
        <v>0.83347297863426895</v>
      </c>
      <c r="P43" s="117">
        <f t="shared" si="188"/>
        <v>0.74149736538082223</v>
      </c>
      <c r="Q43" s="117">
        <f t="shared" si="189"/>
        <v>0.76794282387424462</v>
      </c>
      <c r="R43" s="28">
        <v>1517</v>
      </c>
      <c r="S43" s="28">
        <v>787</v>
      </c>
      <c r="T43" s="28">
        <f t="shared" si="478"/>
        <v>2304</v>
      </c>
      <c r="U43" s="28">
        <v>1212</v>
      </c>
      <c r="V43" s="28">
        <v>652</v>
      </c>
      <c r="W43" s="28">
        <f t="shared" si="258"/>
        <v>1864</v>
      </c>
      <c r="X43" s="106"/>
      <c r="Y43" s="106"/>
      <c r="Z43" s="106"/>
      <c r="AA43" s="28">
        <f t="shared" si="259"/>
        <v>1212</v>
      </c>
      <c r="AB43" s="28">
        <f t="shared" si="260"/>
        <v>652</v>
      </c>
      <c r="AC43" s="28">
        <f t="shared" si="261"/>
        <v>1864</v>
      </c>
      <c r="AD43" s="117">
        <f t="shared" si="560"/>
        <v>0.79894528675016485</v>
      </c>
      <c r="AE43" s="117">
        <f t="shared" si="561"/>
        <v>0.82846251588310038</v>
      </c>
      <c r="AF43" s="117">
        <f t="shared" si="481"/>
        <v>0.80902777777777779</v>
      </c>
      <c r="AG43" s="28">
        <f t="shared" si="190"/>
        <v>15839</v>
      </c>
      <c r="AH43" s="28">
        <f t="shared" si="191"/>
        <v>36276</v>
      </c>
      <c r="AI43" s="28">
        <f t="shared" si="191"/>
        <v>52115</v>
      </c>
      <c r="AJ43" s="28">
        <f t="shared" si="193"/>
        <v>13149</v>
      </c>
      <c r="AK43" s="28">
        <f t="shared" si="194"/>
        <v>26967</v>
      </c>
      <c r="AL43" s="28">
        <f t="shared" si="194"/>
        <v>40116</v>
      </c>
      <c r="AM43" s="106"/>
      <c r="AN43" s="106"/>
      <c r="AO43" s="106"/>
      <c r="AP43" s="28">
        <f t="shared" si="195"/>
        <v>13149</v>
      </c>
      <c r="AQ43" s="28">
        <f t="shared" si="196"/>
        <v>26967</v>
      </c>
      <c r="AR43" s="28">
        <f t="shared" si="196"/>
        <v>40116</v>
      </c>
      <c r="AS43" s="117">
        <f t="shared" si="197"/>
        <v>0.830166045836227</v>
      </c>
      <c r="AT43" s="117">
        <f t="shared" si="198"/>
        <v>0.74338405557393317</v>
      </c>
      <c r="AU43" s="117">
        <f t="shared" si="199"/>
        <v>0.7697591864146599</v>
      </c>
      <c r="AV43" s="92">
        <v>308</v>
      </c>
      <c r="AW43" s="92">
        <v>602</v>
      </c>
      <c r="AX43" s="92">
        <f t="shared" si="200"/>
        <v>910</v>
      </c>
      <c r="AY43" s="92">
        <v>244</v>
      </c>
      <c r="AZ43" s="92">
        <v>394</v>
      </c>
      <c r="BA43" s="92">
        <f t="shared" si="201"/>
        <v>638</v>
      </c>
      <c r="BB43" s="105"/>
      <c r="BC43" s="105"/>
      <c r="BD43" s="105"/>
      <c r="BE43" s="92">
        <f t="shared" si="202"/>
        <v>244</v>
      </c>
      <c r="BF43" s="92">
        <f t="shared" si="203"/>
        <v>394</v>
      </c>
      <c r="BG43" s="92">
        <f t="shared" si="203"/>
        <v>638</v>
      </c>
      <c r="BH43" s="117">
        <f t="shared" si="205"/>
        <v>0.79220779220779225</v>
      </c>
      <c r="BI43" s="117">
        <f t="shared" si="206"/>
        <v>0.654485049833887</v>
      </c>
      <c r="BJ43" s="117">
        <f t="shared" si="207"/>
        <v>0.70109890109890105</v>
      </c>
      <c r="BK43" s="28">
        <v>104</v>
      </c>
      <c r="BL43" s="28">
        <v>36</v>
      </c>
      <c r="BM43" s="28">
        <f t="shared" si="266"/>
        <v>140</v>
      </c>
      <c r="BN43" s="92">
        <v>58</v>
      </c>
      <c r="BO43" s="92">
        <v>23</v>
      </c>
      <c r="BP43" s="92">
        <f t="shared" si="267"/>
        <v>81</v>
      </c>
      <c r="BQ43" s="105"/>
      <c r="BR43" s="105"/>
      <c r="BS43" s="105"/>
      <c r="BT43" s="92">
        <f t="shared" si="482"/>
        <v>58</v>
      </c>
      <c r="BU43" s="92">
        <f t="shared" si="268"/>
        <v>23</v>
      </c>
      <c r="BV43" s="92">
        <f t="shared" si="268"/>
        <v>81</v>
      </c>
      <c r="BW43" s="117">
        <f t="shared" si="270"/>
        <v>0.55769230769230771</v>
      </c>
      <c r="BX43" s="117">
        <f t="shared" si="271"/>
        <v>0.63888888888888884</v>
      </c>
      <c r="BY43" s="117">
        <f t="shared" si="272"/>
        <v>0.57857142857142863</v>
      </c>
      <c r="BZ43" s="98">
        <f t="shared" si="554"/>
        <v>412</v>
      </c>
      <c r="CA43" s="98">
        <f t="shared" si="555"/>
        <v>638</v>
      </c>
      <c r="CB43" s="98">
        <f t="shared" si="556"/>
        <v>1050</v>
      </c>
      <c r="CC43" s="28">
        <f t="shared" si="211"/>
        <v>302</v>
      </c>
      <c r="CD43" s="28">
        <f t="shared" si="212"/>
        <v>417</v>
      </c>
      <c r="CE43" s="28">
        <f t="shared" si="213"/>
        <v>719</v>
      </c>
      <c r="CF43" s="106"/>
      <c r="CG43" s="106"/>
      <c r="CH43" s="106"/>
      <c r="CI43" s="28">
        <f t="shared" si="557"/>
        <v>302</v>
      </c>
      <c r="CJ43" s="28">
        <f t="shared" si="558"/>
        <v>417</v>
      </c>
      <c r="CK43" s="28">
        <f t="shared" si="559"/>
        <v>719</v>
      </c>
      <c r="CL43" s="117">
        <f t="shared" si="454"/>
        <v>0.73300970873786409</v>
      </c>
      <c r="CM43" s="117">
        <f t="shared" si="218"/>
        <v>0.65360501567398122</v>
      </c>
      <c r="CN43" s="117">
        <f t="shared" si="219"/>
        <v>0.68476190476190479</v>
      </c>
      <c r="CO43" s="92">
        <v>150</v>
      </c>
      <c r="CP43" s="92">
        <v>183</v>
      </c>
      <c r="CQ43" s="92">
        <f t="shared" si="220"/>
        <v>333</v>
      </c>
      <c r="CR43" s="92">
        <v>114</v>
      </c>
      <c r="CS43" s="92">
        <v>98</v>
      </c>
      <c r="CT43" s="92">
        <f t="shared" si="221"/>
        <v>212</v>
      </c>
      <c r="CU43" s="105"/>
      <c r="CV43" s="105"/>
      <c r="CW43" s="105"/>
      <c r="CX43" s="92">
        <f t="shared" si="222"/>
        <v>114</v>
      </c>
      <c r="CY43" s="92">
        <f t="shared" si="223"/>
        <v>98</v>
      </c>
      <c r="CZ43" s="92">
        <f t="shared" si="223"/>
        <v>212</v>
      </c>
      <c r="DA43" s="117">
        <f t="shared" si="273"/>
        <v>0.76</v>
      </c>
      <c r="DB43" s="117">
        <f t="shared" si="225"/>
        <v>0.53551912568306015</v>
      </c>
      <c r="DC43" s="117">
        <f t="shared" si="226"/>
        <v>0.63663663663663661</v>
      </c>
      <c r="DD43" s="28">
        <v>39</v>
      </c>
      <c r="DE43" s="28">
        <v>26</v>
      </c>
      <c r="DF43" s="28">
        <f t="shared" si="274"/>
        <v>65</v>
      </c>
      <c r="DG43" s="92">
        <v>24</v>
      </c>
      <c r="DH43" s="92">
        <v>15</v>
      </c>
      <c r="DI43" s="92">
        <f t="shared" si="275"/>
        <v>39</v>
      </c>
      <c r="DJ43" s="105"/>
      <c r="DK43" s="105"/>
      <c r="DL43" s="105"/>
      <c r="DM43" s="92">
        <f t="shared" si="276"/>
        <v>24</v>
      </c>
      <c r="DN43" s="92">
        <f t="shared" si="277"/>
        <v>15</v>
      </c>
      <c r="DO43" s="92">
        <f t="shared" si="277"/>
        <v>39</v>
      </c>
      <c r="DP43" s="116">
        <f t="shared" si="279"/>
        <v>0.61538461538461542</v>
      </c>
      <c r="DQ43" s="116">
        <f t="shared" si="280"/>
        <v>0.57692307692307687</v>
      </c>
      <c r="DR43" s="116">
        <f t="shared" si="281"/>
        <v>0.6</v>
      </c>
      <c r="DS43" s="98">
        <f t="shared" si="227"/>
        <v>189</v>
      </c>
      <c r="DT43" s="98">
        <f t="shared" si="228"/>
        <v>209</v>
      </c>
      <c r="DU43" s="28">
        <f t="shared" si="229"/>
        <v>398</v>
      </c>
      <c r="DV43" s="28">
        <f t="shared" si="230"/>
        <v>138</v>
      </c>
      <c r="DW43" s="28">
        <f t="shared" si="231"/>
        <v>113</v>
      </c>
      <c r="DX43" s="28">
        <f t="shared" si="232"/>
        <v>251</v>
      </c>
      <c r="DY43" s="106"/>
      <c r="DZ43" s="106"/>
      <c r="EA43" s="106"/>
      <c r="EB43" s="28">
        <f t="shared" si="233"/>
        <v>138</v>
      </c>
      <c r="EC43" s="28">
        <f t="shared" si="234"/>
        <v>113</v>
      </c>
      <c r="ED43" s="28">
        <f t="shared" si="235"/>
        <v>251</v>
      </c>
      <c r="EE43" s="117">
        <f t="shared" si="459"/>
        <v>0.73015873015873012</v>
      </c>
      <c r="EF43" s="117">
        <f t="shared" si="236"/>
        <v>0.54066985645933019</v>
      </c>
      <c r="EG43" s="117">
        <f t="shared" si="237"/>
        <v>0.6306532663316583</v>
      </c>
      <c r="EH43" s="28">
        <f t="shared" si="238"/>
        <v>13149</v>
      </c>
      <c r="EI43" s="28">
        <f t="shared" si="239"/>
        <v>26967</v>
      </c>
      <c r="EJ43" s="28">
        <f t="shared" si="239"/>
        <v>40116</v>
      </c>
      <c r="EK43" s="28">
        <v>1307</v>
      </c>
      <c r="EL43" s="28">
        <v>1846</v>
      </c>
      <c r="EM43" s="28">
        <f t="shared" si="241"/>
        <v>3153</v>
      </c>
      <c r="EN43" s="100">
        <f t="shared" si="470"/>
        <v>9.9399193855046004</v>
      </c>
      <c r="EO43" s="93">
        <f t="shared" si="471"/>
        <v>6.8454036414877439</v>
      </c>
      <c r="EP43" s="93">
        <f t="shared" si="472"/>
        <v>7.8597068501346099</v>
      </c>
      <c r="EQ43" s="28">
        <f t="shared" si="245"/>
        <v>302</v>
      </c>
      <c r="ER43" s="28">
        <f t="shared" si="246"/>
        <v>417</v>
      </c>
      <c r="ES43" s="28">
        <f t="shared" si="246"/>
        <v>719</v>
      </c>
      <c r="ET43" s="28">
        <v>10</v>
      </c>
      <c r="EU43" s="28">
        <v>11</v>
      </c>
      <c r="EV43" s="28">
        <f t="shared" si="248"/>
        <v>21</v>
      </c>
      <c r="EW43" s="93">
        <f t="shared" si="473"/>
        <v>3.3112582781456954</v>
      </c>
      <c r="EX43" s="93">
        <f t="shared" si="474"/>
        <v>2.6378896882494005</v>
      </c>
      <c r="EY43" s="93">
        <f t="shared" si="474"/>
        <v>2.9207232267037551</v>
      </c>
      <c r="EZ43" s="28">
        <f t="shared" si="252"/>
        <v>138</v>
      </c>
      <c r="FA43" s="28">
        <f t="shared" si="253"/>
        <v>113</v>
      </c>
      <c r="FB43" s="28">
        <f t="shared" si="253"/>
        <v>251</v>
      </c>
      <c r="FC43" s="28">
        <v>2</v>
      </c>
      <c r="FD43" s="28">
        <v>5</v>
      </c>
      <c r="FE43" s="28">
        <f t="shared" si="255"/>
        <v>7</v>
      </c>
      <c r="FF43" s="93">
        <f t="shared" si="475"/>
        <v>1.4492753623188406</v>
      </c>
      <c r="FG43" s="93">
        <f t="shared" si="476"/>
        <v>4.4247787610619467</v>
      </c>
      <c r="FH43" s="93">
        <f t="shared" si="477"/>
        <v>2.7888446215139444</v>
      </c>
    </row>
    <row r="44" spans="1:164" ht="27" customHeight="1" x14ac:dyDescent="0.25">
      <c r="A44" s="94">
        <v>35</v>
      </c>
      <c r="B44" s="118" t="s">
        <v>163</v>
      </c>
      <c r="C44" s="96">
        <v>1485</v>
      </c>
      <c r="D44" s="96">
        <v>785</v>
      </c>
      <c r="E44" s="96">
        <f t="shared" ref="E44:E50" si="566">C44+D44</f>
        <v>2270</v>
      </c>
      <c r="F44" s="96">
        <v>1258</v>
      </c>
      <c r="G44" s="96">
        <v>667</v>
      </c>
      <c r="H44" s="96">
        <f t="shared" ref="H44:H50" si="567">F44+G44</f>
        <v>1925</v>
      </c>
      <c r="I44" s="96">
        <v>5</v>
      </c>
      <c r="J44" s="96">
        <v>0</v>
      </c>
      <c r="K44" s="96">
        <f>I44+J44</f>
        <v>5</v>
      </c>
      <c r="L44" s="97">
        <f t="shared" ref="L44:N50" si="568">F44+I44</f>
        <v>1263</v>
      </c>
      <c r="M44" s="98">
        <f t="shared" si="568"/>
        <v>667</v>
      </c>
      <c r="N44" s="98">
        <f t="shared" si="568"/>
        <v>1930</v>
      </c>
      <c r="O44" s="116">
        <f t="shared" si="565"/>
        <v>0.85050505050505054</v>
      </c>
      <c r="P44" s="116">
        <f t="shared" ref="P44:Q50" si="569">M44/D44</f>
        <v>0.84968152866242042</v>
      </c>
      <c r="Q44" s="116">
        <f t="shared" si="569"/>
        <v>0.85022026431718056</v>
      </c>
      <c r="R44" s="98">
        <v>4</v>
      </c>
      <c r="S44" s="98">
        <v>0</v>
      </c>
      <c r="T44" s="98">
        <f>R44+S44</f>
        <v>4</v>
      </c>
      <c r="U44" s="98">
        <v>4</v>
      </c>
      <c r="V44" s="98">
        <v>0</v>
      </c>
      <c r="W44" s="98">
        <f>U44+V44</f>
        <v>4</v>
      </c>
      <c r="X44" s="103"/>
      <c r="Y44" s="103"/>
      <c r="Z44" s="103"/>
      <c r="AA44" s="98">
        <f>U44+X44</f>
        <v>4</v>
      </c>
      <c r="AB44" s="98">
        <f>V44+Y44</f>
        <v>0</v>
      </c>
      <c r="AC44" s="98">
        <f>W44+Z44</f>
        <v>4</v>
      </c>
      <c r="AD44" s="116">
        <f t="shared" ref="AD44" si="570">AA44/R44</f>
        <v>1</v>
      </c>
      <c r="AE44" s="116">
        <v>0</v>
      </c>
      <c r="AF44" s="116">
        <f>AC44/T44</f>
        <v>1</v>
      </c>
      <c r="AG44" s="98">
        <f t="shared" ref="AG44:AR44" si="571">C44+R44</f>
        <v>1489</v>
      </c>
      <c r="AH44" s="98">
        <f t="shared" si="571"/>
        <v>785</v>
      </c>
      <c r="AI44" s="98">
        <f t="shared" si="571"/>
        <v>2274</v>
      </c>
      <c r="AJ44" s="98">
        <f t="shared" si="571"/>
        <v>1262</v>
      </c>
      <c r="AK44" s="98">
        <f t="shared" si="571"/>
        <v>667</v>
      </c>
      <c r="AL44" s="98">
        <f t="shared" si="571"/>
        <v>1929</v>
      </c>
      <c r="AM44" s="98">
        <f t="shared" si="571"/>
        <v>5</v>
      </c>
      <c r="AN44" s="98">
        <f t="shared" si="571"/>
        <v>0</v>
      </c>
      <c r="AO44" s="98">
        <f t="shared" si="571"/>
        <v>5</v>
      </c>
      <c r="AP44" s="98">
        <f t="shared" si="571"/>
        <v>1267</v>
      </c>
      <c r="AQ44" s="98">
        <f t="shared" si="571"/>
        <v>667</v>
      </c>
      <c r="AR44" s="98">
        <f t="shared" si="571"/>
        <v>1934</v>
      </c>
      <c r="AS44" s="116">
        <f t="shared" ref="AS44:AU50" si="572">AP44/AG44</f>
        <v>0.85090664875755539</v>
      </c>
      <c r="AT44" s="116">
        <f t="shared" si="572"/>
        <v>0.84968152866242042</v>
      </c>
      <c r="AU44" s="116">
        <f t="shared" si="572"/>
        <v>0.85048372911169745</v>
      </c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12"/>
      <c r="BI44" s="112"/>
      <c r="BJ44" s="112"/>
      <c r="BK44" s="103"/>
      <c r="BL44" s="103"/>
      <c r="BM44" s="103"/>
      <c r="BN44" s="104"/>
      <c r="BO44" s="104"/>
      <c r="BP44" s="104"/>
      <c r="BQ44" s="104"/>
      <c r="BR44" s="104"/>
      <c r="BS44" s="104"/>
      <c r="BT44" s="104"/>
      <c r="BU44" s="104"/>
      <c r="BV44" s="104"/>
      <c r="BW44" s="112"/>
      <c r="BX44" s="112"/>
      <c r="BY44" s="112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12"/>
      <c r="CM44" s="112"/>
      <c r="CN44" s="112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12"/>
      <c r="DB44" s="112"/>
      <c r="DC44" s="112"/>
      <c r="DD44" s="103"/>
      <c r="DE44" s="103"/>
      <c r="DF44" s="103"/>
      <c r="DG44" s="104"/>
      <c r="DH44" s="104"/>
      <c r="DI44" s="104"/>
      <c r="DJ44" s="104"/>
      <c r="DK44" s="104"/>
      <c r="DL44" s="104"/>
      <c r="DM44" s="104"/>
      <c r="DN44" s="104"/>
      <c r="DO44" s="104"/>
      <c r="DP44" s="112"/>
      <c r="DQ44" s="112"/>
      <c r="DR44" s="112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12"/>
      <c r="EF44" s="112"/>
      <c r="EG44" s="112"/>
      <c r="EH44" s="98">
        <f t="shared" ref="EH44:EI50" si="573">+AP44</f>
        <v>1267</v>
      </c>
      <c r="EI44" s="98">
        <f t="shared" si="573"/>
        <v>667</v>
      </c>
      <c r="EJ44" s="103"/>
      <c r="EK44" s="103"/>
      <c r="EL44" s="103"/>
      <c r="EM44" s="103"/>
      <c r="EN44" s="110"/>
      <c r="EO44" s="110"/>
      <c r="EP44" s="110"/>
      <c r="EQ44" s="103"/>
      <c r="ER44" s="103"/>
      <c r="ES44" s="103"/>
      <c r="ET44" s="103"/>
      <c r="EU44" s="103"/>
      <c r="EV44" s="103"/>
      <c r="EW44" s="110"/>
      <c r="EX44" s="110"/>
      <c r="EY44" s="110"/>
      <c r="EZ44" s="103"/>
      <c r="FA44" s="103"/>
      <c r="FB44" s="103"/>
      <c r="FC44" s="103"/>
      <c r="FD44" s="103"/>
      <c r="FE44" s="103"/>
      <c r="FF44" s="110"/>
      <c r="FG44" s="110"/>
      <c r="FH44" s="110"/>
    </row>
    <row r="45" spans="1:164" ht="28.5" x14ac:dyDescent="0.25">
      <c r="A45" s="94">
        <v>36</v>
      </c>
      <c r="B45" s="118" t="s">
        <v>132</v>
      </c>
      <c r="C45" s="96">
        <v>876</v>
      </c>
      <c r="D45" s="96">
        <v>762</v>
      </c>
      <c r="E45" s="96">
        <f t="shared" si="566"/>
        <v>1638</v>
      </c>
      <c r="F45" s="96">
        <v>854</v>
      </c>
      <c r="G45" s="96">
        <v>719</v>
      </c>
      <c r="H45" s="96">
        <f t="shared" si="567"/>
        <v>1573</v>
      </c>
      <c r="I45" s="96">
        <v>8</v>
      </c>
      <c r="J45" s="96">
        <v>7</v>
      </c>
      <c r="K45" s="96">
        <f>I45+J45</f>
        <v>15</v>
      </c>
      <c r="L45" s="97">
        <f t="shared" si="568"/>
        <v>862</v>
      </c>
      <c r="M45" s="98">
        <f t="shared" si="568"/>
        <v>726</v>
      </c>
      <c r="N45" s="98">
        <f t="shared" si="568"/>
        <v>1588</v>
      </c>
      <c r="O45" s="116">
        <f t="shared" si="565"/>
        <v>0.98401826484018262</v>
      </c>
      <c r="P45" s="116">
        <f t="shared" si="569"/>
        <v>0.952755905511811</v>
      </c>
      <c r="Q45" s="116">
        <f t="shared" si="569"/>
        <v>0.96947496947496947</v>
      </c>
      <c r="R45" s="98">
        <v>0</v>
      </c>
      <c r="S45" s="98">
        <v>293</v>
      </c>
      <c r="T45" s="98">
        <f>R45+S45</f>
        <v>293</v>
      </c>
      <c r="U45" s="98">
        <v>0</v>
      </c>
      <c r="V45" s="98">
        <v>76</v>
      </c>
      <c r="W45" s="98">
        <f>U45+V45</f>
        <v>76</v>
      </c>
      <c r="X45" s="98">
        <v>0</v>
      </c>
      <c r="Y45" s="98">
        <v>61</v>
      </c>
      <c r="Z45" s="98">
        <f>X45+Y45</f>
        <v>61</v>
      </c>
      <c r="AA45" s="98">
        <f t="shared" ref="AA45" si="574">U45+X45</f>
        <v>0</v>
      </c>
      <c r="AB45" s="98">
        <f t="shared" ref="AB45" si="575">V45+Y45</f>
        <v>137</v>
      </c>
      <c r="AC45" s="98">
        <f t="shared" ref="AC45" si="576">W45+Z45</f>
        <v>137</v>
      </c>
      <c r="AD45" s="116">
        <v>0</v>
      </c>
      <c r="AE45" s="116">
        <f>AB45/S45</f>
        <v>0.46757679180887374</v>
      </c>
      <c r="AF45" s="116">
        <f>AC45/T45</f>
        <v>0.46757679180887374</v>
      </c>
      <c r="AG45" s="98">
        <f t="shared" ref="AG45" si="577">C45+R45</f>
        <v>876</v>
      </c>
      <c r="AH45" s="98">
        <f t="shared" ref="AH45" si="578">D45+S45</f>
        <v>1055</v>
      </c>
      <c r="AI45" s="98">
        <f t="shared" ref="AI45:AI50" si="579">E45+T45</f>
        <v>1931</v>
      </c>
      <c r="AJ45" s="98">
        <f t="shared" ref="AJ45" si="580">F45+U45</f>
        <v>854</v>
      </c>
      <c r="AK45" s="98">
        <f t="shared" ref="AK45" si="581">G45+V45</f>
        <v>795</v>
      </c>
      <c r="AL45" s="98">
        <f t="shared" ref="AL45:AL50" si="582">H45+W45</f>
        <v>1649</v>
      </c>
      <c r="AM45" s="98">
        <f t="shared" ref="AM45" si="583">I45+X45</f>
        <v>8</v>
      </c>
      <c r="AN45" s="98">
        <f t="shared" ref="AN45" si="584">J45+Y45</f>
        <v>68</v>
      </c>
      <c r="AO45" s="98">
        <f>K45+Z45</f>
        <v>76</v>
      </c>
      <c r="AP45" s="98">
        <f t="shared" ref="AP45" si="585">L45+AA45</f>
        <v>862</v>
      </c>
      <c r="AQ45" s="98">
        <f t="shared" ref="AQ45" si="586">M45+AB45</f>
        <v>863</v>
      </c>
      <c r="AR45" s="98">
        <f t="shared" ref="AR45:AR50" si="587">N45+AC45</f>
        <v>1725</v>
      </c>
      <c r="AS45" s="116">
        <f t="shared" si="572"/>
        <v>0.98401826484018262</v>
      </c>
      <c r="AT45" s="116">
        <f t="shared" si="572"/>
        <v>0.81800947867298579</v>
      </c>
      <c r="AU45" s="116">
        <f t="shared" si="572"/>
        <v>0.89331952356292077</v>
      </c>
      <c r="AV45" s="99">
        <v>10</v>
      </c>
      <c r="AW45" s="99">
        <v>7</v>
      </c>
      <c r="AX45" s="99">
        <f t="shared" ref="AX45:AX50" si="588">+AV45+AW45</f>
        <v>17</v>
      </c>
      <c r="AY45" s="99">
        <v>10</v>
      </c>
      <c r="AZ45" s="99">
        <v>7</v>
      </c>
      <c r="BA45" s="99">
        <f t="shared" ref="BA45:BA50" si="589">+AY45+AZ45</f>
        <v>17</v>
      </c>
      <c r="BB45" s="104"/>
      <c r="BC45" s="104"/>
      <c r="BD45" s="104"/>
      <c r="BE45" s="99">
        <f t="shared" ref="BE45:BG50" si="590">+AY45+BB45</f>
        <v>10</v>
      </c>
      <c r="BF45" s="99">
        <f t="shared" si="590"/>
        <v>7</v>
      </c>
      <c r="BG45" s="99">
        <f t="shared" si="590"/>
        <v>17</v>
      </c>
      <c r="BH45" s="116">
        <f t="shared" ref="BH45:BJ50" si="591">BE45/AV45</f>
        <v>1</v>
      </c>
      <c r="BI45" s="116">
        <f t="shared" si="591"/>
        <v>1</v>
      </c>
      <c r="BJ45" s="116">
        <f t="shared" si="591"/>
        <v>1</v>
      </c>
      <c r="BK45" s="103"/>
      <c r="BL45" s="103"/>
      <c r="BM45" s="103"/>
      <c r="BN45" s="104"/>
      <c r="BO45" s="104"/>
      <c r="BP45" s="104"/>
      <c r="BQ45" s="104"/>
      <c r="BR45" s="104"/>
      <c r="BS45" s="104"/>
      <c r="BT45" s="104"/>
      <c r="BU45" s="104"/>
      <c r="BV45" s="104"/>
      <c r="BW45" s="112"/>
      <c r="BX45" s="112"/>
      <c r="BY45" s="112"/>
      <c r="BZ45" s="98">
        <f t="shared" ref="BZ45:CE50" si="592">AV45+BK45</f>
        <v>10</v>
      </c>
      <c r="CA45" s="98">
        <f t="shared" si="592"/>
        <v>7</v>
      </c>
      <c r="CB45" s="98">
        <f t="shared" si="592"/>
        <v>17</v>
      </c>
      <c r="CC45" s="98">
        <f t="shared" si="592"/>
        <v>10</v>
      </c>
      <c r="CD45" s="98">
        <f t="shared" si="592"/>
        <v>7</v>
      </c>
      <c r="CE45" s="98">
        <f t="shared" si="592"/>
        <v>17</v>
      </c>
      <c r="CF45" s="103"/>
      <c r="CG45" s="103"/>
      <c r="CH45" s="103"/>
      <c r="CI45" s="98">
        <f t="shared" ref="CI45:CK50" si="593">BE45+BT45</f>
        <v>10</v>
      </c>
      <c r="CJ45" s="98">
        <f t="shared" si="593"/>
        <v>7</v>
      </c>
      <c r="CK45" s="98">
        <f t="shared" si="593"/>
        <v>17</v>
      </c>
      <c r="CL45" s="116">
        <f t="shared" ref="CL45:CN50" si="594">CI45/BZ45</f>
        <v>1</v>
      </c>
      <c r="CM45" s="116">
        <f t="shared" si="594"/>
        <v>1</v>
      </c>
      <c r="CN45" s="116">
        <f t="shared" si="594"/>
        <v>1</v>
      </c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12"/>
      <c r="DB45" s="112"/>
      <c r="DC45" s="112"/>
      <c r="DD45" s="103"/>
      <c r="DE45" s="103"/>
      <c r="DF45" s="103"/>
      <c r="DG45" s="104"/>
      <c r="DH45" s="104"/>
      <c r="DI45" s="104"/>
      <c r="DJ45" s="104"/>
      <c r="DK45" s="104"/>
      <c r="DL45" s="104"/>
      <c r="DM45" s="104"/>
      <c r="DN45" s="104"/>
      <c r="DO45" s="104"/>
      <c r="DP45" s="112"/>
      <c r="DQ45" s="112"/>
      <c r="DR45" s="112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12"/>
      <c r="EF45" s="112"/>
      <c r="EG45" s="112"/>
      <c r="EH45" s="98">
        <f t="shared" si="573"/>
        <v>862</v>
      </c>
      <c r="EI45" s="98">
        <f t="shared" si="573"/>
        <v>863</v>
      </c>
      <c r="EJ45" s="98">
        <f t="shared" ref="EJ45:EJ50" si="595">+AR45</f>
        <v>1725</v>
      </c>
      <c r="EK45" s="98">
        <v>848</v>
      </c>
      <c r="EL45" s="98">
        <v>740</v>
      </c>
      <c r="EM45" s="98">
        <f>EK45+EL45</f>
        <v>1588</v>
      </c>
      <c r="EN45" s="100">
        <f>+EK45*100/EH45</f>
        <v>98.375870069605568</v>
      </c>
      <c r="EO45" s="100">
        <f t="shared" ref="EO45" si="596">+EL45*100/EI45</f>
        <v>85.747392815758985</v>
      </c>
      <c r="EP45" s="100">
        <f t="shared" ref="EP45" si="597">+EM45*100/EJ45</f>
        <v>92.05797101449275</v>
      </c>
      <c r="EQ45" s="98">
        <f t="shared" ref="EQ45:ES50" si="598">+CI45</f>
        <v>10</v>
      </c>
      <c r="ER45" s="98">
        <f t="shared" si="598"/>
        <v>7</v>
      </c>
      <c r="ES45" s="98">
        <f t="shared" si="598"/>
        <v>17</v>
      </c>
      <c r="ET45" s="98">
        <v>10</v>
      </c>
      <c r="EU45" s="98">
        <v>7</v>
      </c>
      <c r="EV45" s="98">
        <f>ET45+EU45</f>
        <v>17</v>
      </c>
      <c r="EW45" s="100">
        <f>+ET45*100/EQ45</f>
        <v>100</v>
      </c>
      <c r="EX45" s="100">
        <f t="shared" ref="EX45" si="599">+EU45*100/ER45</f>
        <v>100</v>
      </c>
      <c r="EY45" s="100">
        <f t="shared" ref="EY45" si="600">+EV45*100/ES45</f>
        <v>100</v>
      </c>
      <c r="EZ45" s="103"/>
      <c r="FA45" s="103"/>
      <c r="FB45" s="103"/>
      <c r="FC45" s="103"/>
      <c r="FD45" s="103"/>
      <c r="FE45" s="103"/>
      <c r="FF45" s="110"/>
      <c r="FG45" s="110"/>
      <c r="FH45" s="110"/>
    </row>
    <row r="46" spans="1:164" ht="28.5" x14ac:dyDescent="0.25">
      <c r="A46" s="94">
        <v>37</v>
      </c>
      <c r="B46" s="118" t="s">
        <v>157</v>
      </c>
      <c r="C46" s="96">
        <v>1406</v>
      </c>
      <c r="D46" s="96">
        <v>448</v>
      </c>
      <c r="E46" s="96">
        <f t="shared" si="566"/>
        <v>1854</v>
      </c>
      <c r="F46" s="96">
        <v>519</v>
      </c>
      <c r="G46" s="96">
        <v>32</v>
      </c>
      <c r="H46" s="96">
        <f t="shared" si="567"/>
        <v>551</v>
      </c>
      <c r="I46" s="96">
        <v>318</v>
      </c>
      <c r="J46" s="96">
        <v>83</v>
      </c>
      <c r="K46" s="96">
        <f>I46+J46</f>
        <v>401</v>
      </c>
      <c r="L46" s="97">
        <f t="shared" si="568"/>
        <v>837</v>
      </c>
      <c r="M46" s="98">
        <f t="shared" si="568"/>
        <v>115</v>
      </c>
      <c r="N46" s="98">
        <f t="shared" si="568"/>
        <v>952</v>
      </c>
      <c r="O46" s="116">
        <f t="shared" si="565"/>
        <v>0.59530583214793742</v>
      </c>
      <c r="P46" s="116">
        <f t="shared" si="569"/>
        <v>0.25669642857142855</v>
      </c>
      <c r="Q46" s="116">
        <f t="shared" si="569"/>
        <v>0.51348435814455229</v>
      </c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12"/>
      <c r="AE46" s="112"/>
      <c r="AF46" s="112"/>
      <c r="AG46" s="98">
        <f t="shared" ref="AG46:AH50" si="601">C46+R46</f>
        <v>1406</v>
      </c>
      <c r="AH46" s="98">
        <f t="shared" si="601"/>
        <v>448</v>
      </c>
      <c r="AI46" s="98">
        <f t="shared" si="579"/>
        <v>1854</v>
      </c>
      <c r="AJ46" s="98">
        <f t="shared" ref="AJ46:AK50" si="602">F46+U46</f>
        <v>519</v>
      </c>
      <c r="AK46" s="98">
        <f t="shared" si="602"/>
        <v>32</v>
      </c>
      <c r="AL46" s="98">
        <f t="shared" si="582"/>
        <v>551</v>
      </c>
      <c r="AM46" s="98">
        <f t="shared" ref="AM46:AN48" si="603">I46+X46</f>
        <v>318</v>
      </c>
      <c r="AN46" s="98">
        <f t="shared" si="603"/>
        <v>83</v>
      </c>
      <c r="AO46" s="98">
        <f>K46+Z46</f>
        <v>401</v>
      </c>
      <c r="AP46" s="98">
        <f t="shared" ref="AP46:AQ50" si="604">L46+AA46</f>
        <v>837</v>
      </c>
      <c r="AQ46" s="98">
        <f t="shared" si="604"/>
        <v>115</v>
      </c>
      <c r="AR46" s="98">
        <f t="shared" si="587"/>
        <v>952</v>
      </c>
      <c r="AS46" s="116">
        <f t="shared" si="572"/>
        <v>0.59530583214793742</v>
      </c>
      <c r="AT46" s="116">
        <f t="shared" si="572"/>
        <v>0.25669642857142855</v>
      </c>
      <c r="AU46" s="116">
        <f t="shared" si="572"/>
        <v>0.51348435814455229</v>
      </c>
      <c r="AV46" s="99">
        <v>104</v>
      </c>
      <c r="AW46" s="99">
        <v>71</v>
      </c>
      <c r="AX46" s="99">
        <f t="shared" si="588"/>
        <v>175</v>
      </c>
      <c r="AY46" s="99">
        <v>11</v>
      </c>
      <c r="AZ46" s="99">
        <v>5</v>
      </c>
      <c r="BA46" s="99">
        <f t="shared" si="589"/>
        <v>16</v>
      </c>
      <c r="BB46" s="99">
        <v>20</v>
      </c>
      <c r="BC46" s="99">
        <v>13</v>
      </c>
      <c r="BD46" s="99">
        <f>+BB46+BC46</f>
        <v>33</v>
      </c>
      <c r="BE46" s="99">
        <f t="shared" si="590"/>
        <v>31</v>
      </c>
      <c r="BF46" s="99">
        <f t="shared" si="590"/>
        <v>18</v>
      </c>
      <c r="BG46" s="99">
        <f t="shared" si="590"/>
        <v>49</v>
      </c>
      <c r="BH46" s="116">
        <f t="shared" si="591"/>
        <v>0.29807692307692307</v>
      </c>
      <c r="BI46" s="116">
        <f t="shared" si="591"/>
        <v>0.25352112676056338</v>
      </c>
      <c r="BJ46" s="116">
        <f t="shared" si="591"/>
        <v>0.28000000000000003</v>
      </c>
      <c r="BK46" s="103"/>
      <c r="BL46" s="103"/>
      <c r="BM46" s="103"/>
      <c r="BN46" s="104"/>
      <c r="BO46" s="104"/>
      <c r="BP46" s="104"/>
      <c r="BQ46" s="104"/>
      <c r="BR46" s="104"/>
      <c r="BS46" s="104"/>
      <c r="BT46" s="104"/>
      <c r="BU46" s="104"/>
      <c r="BV46" s="104"/>
      <c r="BW46" s="112"/>
      <c r="BX46" s="112"/>
      <c r="BY46" s="112"/>
      <c r="BZ46" s="98">
        <f t="shared" si="592"/>
        <v>104</v>
      </c>
      <c r="CA46" s="98">
        <f t="shared" si="592"/>
        <v>71</v>
      </c>
      <c r="CB46" s="98">
        <f t="shared" si="592"/>
        <v>175</v>
      </c>
      <c r="CC46" s="98">
        <f t="shared" si="592"/>
        <v>11</v>
      </c>
      <c r="CD46" s="98">
        <f t="shared" si="592"/>
        <v>5</v>
      </c>
      <c r="CE46" s="98">
        <f t="shared" si="592"/>
        <v>16</v>
      </c>
      <c r="CF46" s="98">
        <f t="shared" ref="CF46:CH48" si="605">BB46+BQ46</f>
        <v>20</v>
      </c>
      <c r="CG46" s="98">
        <f t="shared" si="605"/>
        <v>13</v>
      </c>
      <c r="CH46" s="98">
        <f t="shared" si="605"/>
        <v>33</v>
      </c>
      <c r="CI46" s="98">
        <f t="shared" si="593"/>
        <v>31</v>
      </c>
      <c r="CJ46" s="98">
        <f t="shared" si="593"/>
        <v>18</v>
      </c>
      <c r="CK46" s="98">
        <f t="shared" si="593"/>
        <v>49</v>
      </c>
      <c r="CL46" s="116">
        <f t="shared" si="594"/>
        <v>0.29807692307692307</v>
      </c>
      <c r="CM46" s="116">
        <f t="shared" si="594"/>
        <v>0.25352112676056338</v>
      </c>
      <c r="CN46" s="116">
        <f t="shared" si="594"/>
        <v>0.28000000000000003</v>
      </c>
      <c r="CO46" s="99">
        <v>52</v>
      </c>
      <c r="CP46" s="99">
        <v>56</v>
      </c>
      <c r="CQ46" s="99">
        <f>+CO46+CP46</f>
        <v>108</v>
      </c>
      <c r="CR46" s="99">
        <v>1</v>
      </c>
      <c r="CS46" s="99">
        <v>2</v>
      </c>
      <c r="CT46" s="99">
        <f>+CR46+CS46</f>
        <v>3</v>
      </c>
      <c r="CU46" s="99">
        <v>6</v>
      </c>
      <c r="CV46" s="99">
        <v>16</v>
      </c>
      <c r="CW46" s="99">
        <f>+CU46+CV46</f>
        <v>22</v>
      </c>
      <c r="CX46" s="99">
        <f t="shared" ref="CX46:CZ50" si="606">+CR46+CU46</f>
        <v>7</v>
      </c>
      <c r="CY46" s="99">
        <f t="shared" si="606"/>
        <v>18</v>
      </c>
      <c r="CZ46" s="99">
        <f t="shared" si="606"/>
        <v>25</v>
      </c>
      <c r="DA46" s="116">
        <f t="shared" ref="DA46:DC48" si="607">CX46/CO46</f>
        <v>0.13461538461538461</v>
      </c>
      <c r="DB46" s="116">
        <f t="shared" si="607"/>
        <v>0.32142857142857145</v>
      </c>
      <c r="DC46" s="116">
        <f t="shared" si="607"/>
        <v>0.23148148148148148</v>
      </c>
      <c r="DD46" s="103"/>
      <c r="DE46" s="103"/>
      <c r="DF46" s="103"/>
      <c r="DG46" s="104"/>
      <c r="DH46" s="104"/>
      <c r="DI46" s="104"/>
      <c r="DJ46" s="104"/>
      <c r="DK46" s="104"/>
      <c r="DL46" s="104"/>
      <c r="DM46" s="104"/>
      <c r="DN46" s="104"/>
      <c r="DO46" s="104"/>
      <c r="DP46" s="112"/>
      <c r="DQ46" s="112"/>
      <c r="DR46" s="112"/>
      <c r="DS46" s="98">
        <f t="shared" ref="DS46:ED47" si="608">CO46+DD46</f>
        <v>52</v>
      </c>
      <c r="DT46" s="98">
        <f t="shared" si="608"/>
        <v>56</v>
      </c>
      <c r="DU46" s="98">
        <f t="shared" si="608"/>
        <v>108</v>
      </c>
      <c r="DV46" s="98">
        <f t="shared" si="608"/>
        <v>1</v>
      </c>
      <c r="DW46" s="98">
        <f t="shared" si="608"/>
        <v>2</v>
      </c>
      <c r="DX46" s="98">
        <f t="shared" si="608"/>
        <v>3</v>
      </c>
      <c r="DY46" s="98">
        <f t="shared" si="608"/>
        <v>6</v>
      </c>
      <c r="DZ46" s="98">
        <f t="shared" si="608"/>
        <v>16</v>
      </c>
      <c r="EA46" s="98">
        <f t="shared" si="608"/>
        <v>22</v>
      </c>
      <c r="EB46" s="98">
        <f t="shared" si="608"/>
        <v>7</v>
      </c>
      <c r="EC46" s="98">
        <f t="shared" si="608"/>
        <v>18</v>
      </c>
      <c r="ED46" s="98">
        <f t="shared" si="608"/>
        <v>25</v>
      </c>
      <c r="EE46" s="116">
        <f t="shared" ref="EE46:EG48" si="609">EB46/DS46</f>
        <v>0.13461538461538461</v>
      </c>
      <c r="EF46" s="116">
        <f t="shared" si="609"/>
        <v>0.32142857142857145</v>
      </c>
      <c r="EG46" s="116">
        <f t="shared" si="609"/>
        <v>0.23148148148148148</v>
      </c>
      <c r="EH46" s="98">
        <f t="shared" si="573"/>
        <v>837</v>
      </c>
      <c r="EI46" s="98">
        <f t="shared" si="573"/>
        <v>115</v>
      </c>
      <c r="EJ46" s="98">
        <f t="shared" si="595"/>
        <v>952</v>
      </c>
      <c r="EK46" s="103"/>
      <c r="EL46" s="103"/>
      <c r="EM46" s="103"/>
      <c r="EN46" s="110"/>
      <c r="EO46" s="110"/>
      <c r="EP46" s="110"/>
      <c r="EQ46" s="98">
        <f t="shared" si="598"/>
        <v>31</v>
      </c>
      <c r="ER46" s="98">
        <f t="shared" si="598"/>
        <v>18</v>
      </c>
      <c r="ES46" s="98">
        <f t="shared" si="598"/>
        <v>49</v>
      </c>
      <c r="ET46" s="103"/>
      <c r="EU46" s="103"/>
      <c r="EV46" s="103"/>
      <c r="EW46" s="103"/>
      <c r="EX46" s="103"/>
      <c r="EY46" s="103"/>
      <c r="EZ46" s="98">
        <f t="shared" ref="EZ46:FB50" si="610">+EB46</f>
        <v>7</v>
      </c>
      <c r="FA46" s="98">
        <f t="shared" si="610"/>
        <v>18</v>
      </c>
      <c r="FB46" s="98">
        <f t="shared" si="610"/>
        <v>25</v>
      </c>
      <c r="FC46" s="103"/>
      <c r="FD46" s="103"/>
      <c r="FE46" s="103"/>
      <c r="FF46" s="103"/>
      <c r="FG46" s="103"/>
      <c r="FH46" s="103"/>
    </row>
    <row r="47" spans="1:164" ht="27" customHeight="1" x14ac:dyDescent="0.25">
      <c r="A47" s="94">
        <v>38</v>
      </c>
      <c r="B47" s="118" t="s">
        <v>161</v>
      </c>
      <c r="C47" s="96">
        <v>546</v>
      </c>
      <c r="D47" s="96">
        <v>284</v>
      </c>
      <c r="E47" s="96">
        <f t="shared" si="566"/>
        <v>830</v>
      </c>
      <c r="F47" s="96">
        <v>518</v>
      </c>
      <c r="G47" s="96">
        <v>264</v>
      </c>
      <c r="H47" s="96">
        <f t="shared" si="567"/>
        <v>782</v>
      </c>
      <c r="I47" s="96">
        <v>0</v>
      </c>
      <c r="J47" s="96">
        <v>0</v>
      </c>
      <c r="K47" s="96">
        <f>I47+J47</f>
        <v>0</v>
      </c>
      <c r="L47" s="97">
        <f t="shared" si="568"/>
        <v>518</v>
      </c>
      <c r="M47" s="98">
        <f t="shared" si="568"/>
        <v>264</v>
      </c>
      <c r="N47" s="98">
        <f t="shared" si="568"/>
        <v>782</v>
      </c>
      <c r="O47" s="116">
        <f t="shared" si="565"/>
        <v>0.94871794871794868</v>
      </c>
      <c r="P47" s="116">
        <f t="shared" si="569"/>
        <v>0.92957746478873238</v>
      </c>
      <c r="Q47" s="116">
        <f t="shared" si="569"/>
        <v>0.94216867469879517</v>
      </c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12"/>
      <c r="AE47" s="112"/>
      <c r="AF47" s="112"/>
      <c r="AG47" s="98">
        <f t="shared" si="601"/>
        <v>546</v>
      </c>
      <c r="AH47" s="98">
        <f t="shared" si="601"/>
        <v>284</v>
      </c>
      <c r="AI47" s="98">
        <f t="shared" si="579"/>
        <v>830</v>
      </c>
      <c r="AJ47" s="98">
        <f t="shared" si="602"/>
        <v>518</v>
      </c>
      <c r="AK47" s="98">
        <f t="shared" si="602"/>
        <v>264</v>
      </c>
      <c r="AL47" s="98">
        <f t="shared" si="582"/>
        <v>782</v>
      </c>
      <c r="AM47" s="98">
        <f t="shared" si="603"/>
        <v>0</v>
      </c>
      <c r="AN47" s="98">
        <f t="shared" si="603"/>
        <v>0</v>
      </c>
      <c r="AO47" s="98">
        <f>K47+Z47</f>
        <v>0</v>
      </c>
      <c r="AP47" s="98">
        <f t="shared" si="604"/>
        <v>518</v>
      </c>
      <c r="AQ47" s="98">
        <f t="shared" si="604"/>
        <v>264</v>
      </c>
      <c r="AR47" s="98">
        <f t="shared" si="587"/>
        <v>782</v>
      </c>
      <c r="AS47" s="116">
        <f t="shared" si="572"/>
        <v>0.94871794871794868</v>
      </c>
      <c r="AT47" s="116">
        <f t="shared" si="572"/>
        <v>0.92957746478873238</v>
      </c>
      <c r="AU47" s="116">
        <f t="shared" si="572"/>
        <v>0.94216867469879517</v>
      </c>
      <c r="AV47" s="99">
        <v>69</v>
      </c>
      <c r="AW47" s="99">
        <v>83</v>
      </c>
      <c r="AX47" s="99">
        <f t="shared" si="588"/>
        <v>152</v>
      </c>
      <c r="AY47" s="99">
        <v>60</v>
      </c>
      <c r="AZ47" s="99">
        <v>77</v>
      </c>
      <c r="BA47" s="99">
        <f t="shared" si="589"/>
        <v>137</v>
      </c>
      <c r="BB47" s="99">
        <v>0</v>
      </c>
      <c r="BC47" s="99">
        <v>0</v>
      </c>
      <c r="BD47" s="99">
        <f>+BB47+BC47</f>
        <v>0</v>
      </c>
      <c r="BE47" s="99">
        <f t="shared" si="590"/>
        <v>60</v>
      </c>
      <c r="BF47" s="99">
        <f t="shared" si="590"/>
        <v>77</v>
      </c>
      <c r="BG47" s="99">
        <f t="shared" si="590"/>
        <v>137</v>
      </c>
      <c r="BH47" s="116">
        <f t="shared" si="591"/>
        <v>0.86956521739130432</v>
      </c>
      <c r="BI47" s="116">
        <f t="shared" si="591"/>
        <v>0.92771084337349397</v>
      </c>
      <c r="BJ47" s="116">
        <f t="shared" si="591"/>
        <v>0.90131578947368418</v>
      </c>
      <c r="BK47" s="111"/>
      <c r="BL47" s="111"/>
      <c r="BM47" s="103"/>
      <c r="BN47" s="104"/>
      <c r="BO47" s="104"/>
      <c r="BP47" s="104"/>
      <c r="BQ47" s="104"/>
      <c r="BR47" s="104"/>
      <c r="BS47" s="104"/>
      <c r="BT47" s="104"/>
      <c r="BU47" s="104"/>
      <c r="BV47" s="104"/>
      <c r="BW47" s="112"/>
      <c r="BX47" s="112"/>
      <c r="BY47" s="112"/>
      <c r="BZ47" s="98">
        <f t="shared" si="592"/>
        <v>69</v>
      </c>
      <c r="CA47" s="98">
        <f t="shared" si="592"/>
        <v>83</v>
      </c>
      <c r="CB47" s="98">
        <f t="shared" si="592"/>
        <v>152</v>
      </c>
      <c r="CC47" s="98">
        <f t="shared" si="592"/>
        <v>60</v>
      </c>
      <c r="CD47" s="98">
        <f t="shared" si="592"/>
        <v>77</v>
      </c>
      <c r="CE47" s="98">
        <f t="shared" si="592"/>
        <v>137</v>
      </c>
      <c r="CF47" s="98">
        <f t="shared" si="605"/>
        <v>0</v>
      </c>
      <c r="CG47" s="98">
        <f t="shared" si="605"/>
        <v>0</v>
      </c>
      <c r="CH47" s="98">
        <f t="shared" si="605"/>
        <v>0</v>
      </c>
      <c r="CI47" s="98">
        <f t="shared" si="593"/>
        <v>60</v>
      </c>
      <c r="CJ47" s="98">
        <f t="shared" si="593"/>
        <v>77</v>
      </c>
      <c r="CK47" s="98">
        <f t="shared" si="593"/>
        <v>137</v>
      </c>
      <c r="CL47" s="116">
        <f t="shared" si="594"/>
        <v>0.86956521739130432</v>
      </c>
      <c r="CM47" s="116">
        <f t="shared" si="594"/>
        <v>0.92771084337349397</v>
      </c>
      <c r="CN47" s="116">
        <f t="shared" si="594"/>
        <v>0.90131578947368418</v>
      </c>
      <c r="CO47" s="99">
        <v>7</v>
      </c>
      <c r="CP47" s="99">
        <v>10</v>
      </c>
      <c r="CQ47" s="99">
        <f>+CO47+CP47</f>
        <v>17</v>
      </c>
      <c r="CR47" s="99">
        <v>5</v>
      </c>
      <c r="CS47" s="99">
        <v>9</v>
      </c>
      <c r="CT47" s="99">
        <f>+CR47+CS47</f>
        <v>14</v>
      </c>
      <c r="CU47" s="99">
        <v>0</v>
      </c>
      <c r="CV47" s="99">
        <v>0</v>
      </c>
      <c r="CW47" s="99">
        <f>+CU47+CV47</f>
        <v>0</v>
      </c>
      <c r="CX47" s="99">
        <f t="shared" si="606"/>
        <v>5</v>
      </c>
      <c r="CY47" s="99">
        <f t="shared" si="606"/>
        <v>9</v>
      </c>
      <c r="CZ47" s="99">
        <f t="shared" si="606"/>
        <v>14</v>
      </c>
      <c r="DA47" s="116">
        <f t="shared" si="607"/>
        <v>0.7142857142857143</v>
      </c>
      <c r="DB47" s="116">
        <f t="shared" si="607"/>
        <v>0.9</v>
      </c>
      <c r="DC47" s="116">
        <f t="shared" si="607"/>
        <v>0.82352941176470584</v>
      </c>
      <c r="DD47" s="111"/>
      <c r="DE47" s="111"/>
      <c r="DF47" s="103"/>
      <c r="DG47" s="104"/>
      <c r="DH47" s="104"/>
      <c r="DI47" s="104"/>
      <c r="DJ47" s="104"/>
      <c r="DK47" s="104"/>
      <c r="DL47" s="104"/>
      <c r="DM47" s="104"/>
      <c r="DN47" s="104"/>
      <c r="DO47" s="104"/>
      <c r="DP47" s="112"/>
      <c r="DQ47" s="112"/>
      <c r="DR47" s="112"/>
      <c r="DS47" s="98">
        <f t="shared" si="608"/>
        <v>7</v>
      </c>
      <c r="DT47" s="98">
        <f t="shared" si="608"/>
        <v>10</v>
      </c>
      <c r="DU47" s="98">
        <f t="shared" si="608"/>
        <v>17</v>
      </c>
      <c r="DV47" s="98">
        <f t="shared" si="608"/>
        <v>5</v>
      </c>
      <c r="DW47" s="98">
        <f t="shared" si="608"/>
        <v>9</v>
      </c>
      <c r="DX47" s="98">
        <f t="shared" si="608"/>
        <v>14</v>
      </c>
      <c r="DY47" s="98">
        <f t="shared" si="608"/>
        <v>0</v>
      </c>
      <c r="DZ47" s="98">
        <f t="shared" si="608"/>
        <v>0</v>
      </c>
      <c r="EA47" s="98">
        <f t="shared" si="608"/>
        <v>0</v>
      </c>
      <c r="EB47" s="98">
        <f t="shared" si="608"/>
        <v>5</v>
      </c>
      <c r="EC47" s="98">
        <f t="shared" si="608"/>
        <v>9</v>
      </c>
      <c r="ED47" s="98">
        <f t="shared" si="608"/>
        <v>14</v>
      </c>
      <c r="EE47" s="116">
        <f t="shared" si="609"/>
        <v>0.7142857142857143</v>
      </c>
      <c r="EF47" s="116">
        <f t="shared" si="609"/>
        <v>0.9</v>
      </c>
      <c r="EG47" s="116">
        <f t="shared" si="609"/>
        <v>0.82352941176470584</v>
      </c>
      <c r="EH47" s="98">
        <f t="shared" si="573"/>
        <v>518</v>
      </c>
      <c r="EI47" s="98">
        <f t="shared" si="573"/>
        <v>264</v>
      </c>
      <c r="EJ47" s="98">
        <f t="shared" si="595"/>
        <v>782</v>
      </c>
      <c r="EK47" s="101">
        <v>249</v>
      </c>
      <c r="EL47" s="101">
        <v>165</v>
      </c>
      <c r="EM47" s="98">
        <f>EK47+EL47</f>
        <v>414</v>
      </c>
      <c r="EN47" s="100">
        <f t="shared" ref="EN47:EP50" si="611">+EK47*100/EH47</f>
        <v>48.069498069498067</v>
      </c>
      <c r="EO47" s="100">
        <f t="shared" si="611"/>
        <v>62.5</v>
      </c>
      <c r="EP47" s="100">
        <f t="shared" si="611"/>
        <v>52.941176470588232</v>
      </c>
      <c r="EQ47" s="98">
        <f t="shared" si="598"/>
        <v>60</v>
      </c>
      <c r="ER47" s="98">
        <f t="shared" si="598"/>
        <v>77</v>
      </c>
      <c r="ES47" s="98">
        <f t="shared" si="598"/>
        <v>137</v>
      </c>
      <c r="ET47" s="101">
        <v>16</v>
      </c>
      <c r="EU47" s="101">
        <v>39</v>
      </c>
      <c r="EV47" s="98">
        <f>ET47+EU47</f>
        <v>55</v>
      </c>
      <c r="EW47" s="100">
        <f t="shared" ref="EW47:EY49" si="612">+ET47*100/EQ47</f>
        <v>26.666666666666668</v>
      </c>
      <c r="EX47" s="100">
        <f t="shared" si="612"/>
        <v>50.649350649350652</v>
      </c>
      <c r="EY47" s="100">
        <f t="shared" si="612"/>
        <v>40.145985401459853</v>
      </c>
      <c r="EZ47" s="98">
        <f t="shared" si="610"/>
        <v>5</v>
      </c>
      <c r="FA47" s="98">
        <f t="shared" si="610"/>
        <v>9</v>
      </c>
      <c r="FB47" s="98">
        <f t="shared" si="610"/>
        <v>14</v>
      </c>
      <c r="FC47" s="101">
        <v>4</v>
      </c>
      <c r="FD47" s="101">
        <v>5</v>
      </c>
      <c r="FE47" s="98">
        <f>FC47+FD47</f>
        <v>9</v>
      </c>
      <c r="FF47" s="100">
        <f t="shared" ref="FF47:FH48" si="613">+FC47*100/EZ47</f>
        <v>80</v>
      </c>
      <c r="FG47" s="100">
        <f t="shared" si="613"/>
        <v>55.555555555555557</v>
      </c>
      <c r="FH47" s="100">
        <f t="shared" si="613"/>
        <v>64.285714285714292</v>
      </c>
    </row>
    <row r="48" spans="1:164" ht="27" customHeight="1" x14ac:dyDescent="0.25">
      <c r="A48" s="94">
        <v>39</v>
      </c>
      <c r="B48" s="118" t="s">
        <v>166</v>
      </c>
      <c r="C48" s="75">
        <v>125</v>
      </c>
      <c r="D48" s="75">
        <v>117</v>
      </c>
      <c r="E48" s="75">
        <f t="shared" si="566"/>
        <v>242</v>
      </c>
      <c r="F48" s="75">
        <v>120</v>
      </c>
      <c r="G48" s="75">
        <v>110</v>
      </c>
      <c r="H48" s="75">
        <f t="shared" si="567"/>
        <v>230</v>
      </c>
      <c r="I48" s="75">
        <v>2</v>
      </c>
      <c r="J48" s="75">
        <v>4</v>
      </c>
      <c r="K48" s="75">
        <f>I48+J48</f>
        <v>6</v>
      </c>
      <c r="L48" s="97">
        <f t="shared" si="568"/>
        <v>122</v>
      </c>
      <c r="M48" s="98">
        <f t="shared" si="568"/>
        <v>114</v>
      </c>
      <c r="N48" s="98">
        <f t="shared" si="568"/>
        <v>236</v>
      </c>
      <c r="O48" s="117">
        <f t="shared" si="565"/>
        <v>0.97599999999999998</v>
      </c>
      <c r="P48" s="117">
        <f t="shared" si="569"/>
        <v>0.97435897435897434</v>
      </c>
      <c r="Q48" s="117">
        <f t="shared" si="569"/>
        <v>0.97520661157024791</v>
      </c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14"/>
      <c r="AE48" s="114"/>
      <c r="AF48" s="114"/>
      <c r="AG48" s="28">
        <f t="shared" si="601"/>
        <v>125</v>
      </c>
      <c r="AH48" s="28">
        <f t="shared" si="601"/>
        <v>117</v>
      </c>
      <c r="AI48" s="28">
        <f t="shared" si="579"/>
        <v>242</v>
      </c>
      <c r="AJ48" s="28">
        <f t="shared" si="602"/>
        <v>120</v>
      </c>
      <c r="AK48" s="28">
        <f t="shared" si="602"/>
        <v>110</v>
      </c>
      <c r="AL48" s="28">
        <f t="shared" si="582"/>
        <v>230</v>
      </c>
      <c r="AM48" s="28">
        <f t="shared" si="603"/>
        <v>2</v>
      </c>
      <c r="AN48" s="28">
        <f t="shared" si="603"/>
        <v>4</v>
      </c>
      <c r="AO48" s="28">
        <f>K48+Z48</f>
        <v>6</v>
      </c>
      <c r="AP48" s="28">
        <f t="shared" si="604"/>
        <v>122</v>
      </c>
      <c r="AQ48" s="28">
        <f t="shared" si="604"/>
        <v>114</v>
      </c>
      <c r="AR48" s="28">
        <f t="shared" si="587"/>
        <v>236</v>
      </c>
      <c r="AS48" s="117">
        <f t="shared" si="572"/>
        <v>0.97599999999999998</v>
      </c>
      <c r="AT48" s="117">
        <f t="shared" si="572"/>
        <v>0.97435897435897434</v>
      </c>
      <c r="AU48" s="117">
        <f t="shared" si="572"/>
        <v>0.97520661157024791</v>
      </c>
      <c r="AV48" s="92">
        <v>20</v>
      </c>
      <c r="AW48" s="92">
        <v>20</v>
      </c>
      <c r="AX48" s="92">
        <f t="shared" si="588"/>
        <v>40</v>
      </c>
      <c r="AY48" s="92">
        <v>19</v>
      </c>
      <c r="AZ48" s="92">
        <v>17</v>
      </c>
      <c r="BA48" s="92">
        <f t="shared" si="589"/>
        <v>36</v>
      </c>
      <c r="BB48" s="92">
        <v>1</v>
      </c>
      <c r="BC48" s="92">
        <v>1</v>
      </c>
      <c r="BD48" s="92">
        <f>+BB48+BC48</f>
        <v>2</v>
      </c>
      <c r="BE48" s="92">
        <f t="shared" si="590"/>
        <v>20</v>
      </c>
      <c r="BF48" s="92">
        <f t="shared" si="590"/>
        <v>18</v>
      </c>
      <c r="BG48" s="92">
        <f t="shared" si="590"/>
        <v>38</v>
      </c>
      <c r="BH48" s="117">
        <f t="shared" si="591"/>
        <v>1</v>
      </c>
      <c r="BI48" s="117">
        <f t="shared" si="591"/>
        <v>0.9</v>
      </c>
      <c r="BJ48" s="117">
        <f t="shared" si="591"/>
        <v>0.95</v>
      </c>
      <c r="BK48" s="107"/>
      <c r="BL48" s="107"/>
      <c r="BM48" s="106"/>
      <c r="BN48" s="105"/>
      <c r="BO48" s="105"/>
      <c r="BP48" s="105"/>
      <c r="BQ48" s="105"/>
      <c r="BR48" s="105"/>
      <c r="BS48" s="105"/>
      <c r="BT48" s="105"/>
      <c r="BU48" s="105"/>
      <c r="BV48" s="105"/>
      <c r="BW48" s="114"/>
      <c r="BX48" s="114"/>
      <c r="BY48" s="114"/>
      <c r="BZ48" s="98">
        <f t="shared" si="592"/>
        <v>20</v>
      </c>
      <c r="CA48" s="98">
        <f t="shared" si="592"/>
        <v>20</v>
      </c>
      <c r="CB48" s="98">
        <f t="shared" si="592"/>
        <v>40</v>
      </c>
      <c r="CC48" s="28">
        <f t="shared" si="592"/>
        <v>19</v>
      </c>
      <c r="CD48" s="28">
        <f t="shared" si="592"/>
        <v>17</v>
      </c>
      <c r="CE48" s="28">
        <f t="shared" si="592"/>
        <v>36</v>
      </c>
      <c r="CF48" s="28">
        <f t="shared" si="605"/>
        <v>1</v>
      </c>
      <c r="CG48" s="28">
        <f t="shared" si="605"/>
        <v>1</v>
      </c>
      <c r="CH48" s="28">
        <f t="shared" si="605"/>
        <v>2</v>
      </c>
      <c r="CI48" s="28">
        <f t="shared" si="593"/>
        <v>20</v>
      </c>
      <c r="CJ48" s="28">
        <f t="shared" si="593"/>
        <v>18</v>
      </c>
      <c r="CK48" s="28">
        <f t="shared" si="593"/>
        <v>38</v>
      </c>
      <c r="CL48" s="117">
        <f t="shared" si="594"/>
        <v>1</v>
      </c>
      <c r="CM48" s="117">
        <f t="shared" si="594"/>
        <v>0.9</v>
      </c>
      <c r="CN48" s="117">
        <f t="shared" si="594"/>
        <v>0.95</v>
      </c>
      <c r="CO48" s="92">
        <v>13</v>
      </c>
      <c r="CP48" s="92">
        <v>20</v>
      </c>
      <c r="CQ48" s="92">
        <f>+CO48+CP48</f>
        <v>33</v>
      </c>
      <c r="CR48" s="92">
        <v>12</v>
      </c>
      <c r="CS48" s="92">
        <v>19</v>
      </c>
      <c r="CT48" s="92">
        <f>+CR48+CS48</f>
        <v>31</v>
      </c>
      <c r="CU48" s="105"/>
      <c r="CV48" s="105"/>
      <c r="CW48" s="105"/>
      <c r="CX48" s="92">
        <f t="shared" si="606"/>
        <v>12</v>
      </c>
      <c r="CY48" s="92">
        <f t="shared" si="606"/>
        <v>19</v>
      </c>
      <c r="CZ48" s="92">
        <f t="shared" si="606"/>
        <v>31</v>
      </c>
      <c r="DA48" s="117">
        <f t="shared" si="607"/>
        <v>0.92307692307692313</v>
      </c>
      <c r="DB48" s="117">
        <f t="shared" si="607"/>
        <v>0.95</v>
      </c>
      <c r="DC48" s="117">
        <f t="shared" si="607"/>
        <v>0.93939393939393945</v>
      </c>
      <c r="DD48" s="107"/>
      <c r="DE48" s="107"/>
      <c r="DF48" s="106"/>
      <c r="DG48" s="105"/>
      <c r="DH48" s="105"/>
      <c r="DI48" s="105"/>
      <c r="DJ48" s="105"/>
      <c r="DK48" s="105"/>
      <c r="DL48" s="105"/>
      <c r="DM48" s="105"/>
      <c r="DN48" s="105"/>
      <c r="DO48" s="105"/>
      <c r="DP48" s="112"/>
      <c r="DQ48" s="112"/>
      <c r="DR48" s="112"/>
      <c r="DS48" s="98">
        <f t="shared" ref="DS48:DX50" si="614">CO48+DD48</f>
        <v>13</v>
      </c>
      <c r="DT48" s="98">
        <f t="shared" si="614"/>
        <v>20</v>
      </c>
      <c r="DU48" s="28">
        <f t="shared" si="614"/>
        <v>33</v>
      </c>
      <c r="DV48" s="28">
        <f t="shared" si="614"/>
        <v>12</v>
      </c>
      <c r="DW48" s="28">
        <f t="shared" si="614"/>
        <v>19</v>
      </c>
      <c r="DX48" s="28">
        <f t="shared" si="614"/>
        <v>31</v>
      </c>
      <c r="DY48" s="106"/>
      <c r="DZ48" s="106"/>
      <c r="EA48" s="106"/>
      <c r="EB48" s="28">
        <f t="shared" ref="EB48:ED50" si="615">CX48+DM48</f>
        <v>12</v>
      </c>
      <c r="EC48" s="28">
        <f t="shared" si="615"/>
        <v>19</v>
      </c>
      <c r="ED48" s="28">
        <f t="shared" si="615"/>
        <v>31</v>
      </c>
      <c r="EE48" s="117">
        <f t="shared" si="609"/>
        <v>0.92307692307692313</v>
      </c>
      <c r="EF48" s="117">
        <f t="shared" si="609"/>
        <v>0.95</v>
      </c>
      <c r="EG48" s="117">
        <f t="shared" si="609"/>
        <v>0.93939393939393945</v>
      </c>
      <c r="EH48" s="28">
        <f t="shared" si="573"/>
        <v>122</v>
      </c>
      <c r="EI48" s="28">
        <f t="shared" si="573"/>
        <v>114</v>
      </c>
      <c r="EJ48" s="28">
        <f t="shared" si="595"/>
        <v>236</v>
      </c>
      <c r="EK48" s="32">
        <v>93</v>
      </c>
      <c r="EL48" s="32">
        <v>94</v>
      </c>
      <c r="EM48" s="28">
        <f>EK48+EL48</f>
        <v>187</v>
      </c>
      <c r="EN48" s="100">
        <f t="shared" si="611"/>
        <v>76.229508196721312</v>
      </c>
      <c r="EO48" s="93">
        <f t="shared" si="611"/>
        <v>82.456140350877192</v>
      </c>
      <c r="EP48" s="93">
        <f t="shared" si="611"/>
        <v>79.237288135593218</v>
      </c>
      <c r="EQ48" s="28">
        <f t="shared" si="598"/>
        <v>20</v>
      </c>
      <c r="ER48" s="28">
        <f t="shared" si="598"/>
        <v>18</v>
      </c>
      <c r="ES48" s="28">
        <f t="shared" si="598"/>
        <v>38</v>
      </c>
      <c r="ET48" s="32">
        <v>15</v>
      </c>
      <c r="EU48" s="32">
        <v>12</v>
      </c>
      <c r="EV48" s="28">
        <f>ET48+EU48</f>
        <v>27</v>
      </c>
      <c r="EW48" s="93">
        <f t="shared" si="612"/>
        <v>75</v>
      </c>
      <c r="EX48" s="93">
        <f t="shared" si="612"/>
        <v>66.666666666666671</v>
      </c>
      <c r="EY48" s="93">
        <f t="shared" si="612"/>
        <v>71.05263157894737</v>
      </c>
      <c r="EZ48" s="28">
        <f t="shared" si="610"/>
        <v>12</v>
      </c>
      <c r="FA48" s="28">
        <f t="shared" si="610"/>
        <v>19</v>
      </c>
      <c r="FB48" s="28">
        <f t="shared" si="610"/>
        <v>31</v>
      </c>
      <c r="FC48" s="32">
        <v>9</v>
      </c>
      <c r="FD48" s="32">
        <v>13</v>
      </c>
      <c r="FE48" s="28">
        <f>FC48+FD48</f>
        <v>22</v>
      </c>
      <c r="FF48" s="93">
        <f t="shared" si="613"/>
        <v>75</v>
      </c>
      <c r="FG48" s="93">
        <f t="shared" si="613"/>
        <v>68.421052631578945</v>
      </c>
      <c r="FH48" s="93">
        <f t="shared" si="613"/>
        <v>70.967741935483872</v>
      </c>
    </row>
    <row r="49" spans="1:164" ht="27" customHeight="1" x14ac:dyDescent="0.25">
      <c r="A49" s="94">
        <v>40</v>
      </c>
      <c r="B49" s="118" t="s">
        <v>167</v>
      </c>
      <c r="C49" s="75">
        <v>11829</v>
      </c>
      <c r="D49" s="75">
        <v>4870</v>
      </c>
      <c r="E49" s="75">
        <f t="shared" si="566"/>
        <v>16699</v>
      </c>
      <c r="F49" s="75">
        <v>11328</v>
      </c>
      <c r="G49" s="75">
        <v>4673</v>
      </c>
      <c r="H49" s="75">
        <f t="shared" si="567"/>
        <v>16001</v>
      </c>
      <c r="I49" s="105"/>
      <c r="J49" s="105"/>
      <c r="K49" s="105"/>
      <c r="L49" s="97">
        <f t="shared" si="568"/>
        <v>11328</v>
      </c>
      <c r="M49" s="98">
        <f t="shared" si="568"/>
        <v>4673</v>
      </c>
      <c r="N49" s="98">
        <f t="shared" si="568"/>
        <v>16001</v>
      </c>
      <c r="O49" s="117">
        <f t="shared" si="565"/>
        <v>0.95764646208470705</v>
      </c>
      <c r="P49" s="117">
        <f t="shared" si="569"/>
        <v>0.95954825462012316</v>
      </c>
      <c r="Q49" s="117">
        <f t="shared" si="569"/>
        <v>0.95820108988562191</v>
      </c>
      <c r="R49" s="28">
        <v>1128</v>
      </c>
      <c r="S49" s="28">
        <v>516</v>
      </c>
      <c r="T49" s="28">
        <f>R49+S49</f>
        <v>1644</v>
      </c>
      <c r="U49" s="28">
        <v>917</v>
      </c>
      <c r="V49" s="28">
        <v>423</v>
      </c>
      <c r="W49" s="28">
        <f>U49+V49</f>
        <v>1340</v>
      </c>
      <c r="X49" s="106"/>
      <c r="Y49" s="106"/>
      <c r="Z49" s="106"/>
      <c r="AA49" s="28">
        <f t="shared" ref="AA49:AC50" si="616">U49+X49</f>
        <v>917</v>
      </c>
      <c r="AB49" s="28">
        <f t="shared" si="616"/>
        <v>423</v>
      </c>
      <c r="AC49" s="28">
        <f t="shared" si="616"/>
        <v>1340</v>
      </c>
      <c r="AD49" s="117">
        <f t="shared" ref="AD49:AF50" si="617">AA49/R49</f>
        <v>0.81294326241134751</v>
      </c>
      <c r="AE49" s="117">
        <f t="shared" si="617"/>
        <v>0.81976744186046513</v>
      </c>
      <c r="AF49" s="117">
        <f t="shared" si="617"/>
        <v>0.81508515815085159</v>
      </c>
      <c r="AG49" s="28">
        <f t="shared" si="601"/>
        <v>12957</v>
      </c>
      <c r="AH49" s="28">
        <f t="shared" si="601"/>
        <v>5386</v>
      </c>
      <c r="AI49" s="28">
        <f t="shared" si="579"/>
        <v>18343</v>
      </c>
      <c r="AJ49" s="28">
        <f t="shared" si="602"/>
        <v>12245</v>
      </c>
      <c r="AK49" s="28">
        <f t="shared" si="602"/>
        <v>5096</v>
      </c>
      <c r="AL49" s="28">
        <f t="shared" si="582"/>
        <v>17341</v>
      </c>
      <c r="AM49" s="106"/>
      <c r="AN49" s="106"/>
      <c r="AO49" s="106"/>
      <c r="AP49" s="28">
        <f t="shared" si="604"/>
        <v>12245</v>
      </c>
      <c r="AQ49" s="28">
        <f t="shared" si="604"/>
        <v>5096</v>
      </c>
      <c r="AR49" s="28">
        <f t="shared" si="587"/>
        <v>17341</v>
      </c>
      <c r="AS49" s="117">
        <f t="shared" si="572"/>
        <v>0.94504900825808447</v>
      </c>
      <c r="AT49" s="117">
        <f t="shared" si="572"/>
        <v>0.9461567025621983</v>
      </c>
      <c r="AU49" s="117">
        <f t="shared" si="572"/>
        <v>0.94537425720983481</v>
      </c>
      <c r="AV49" s="92">
        <v>1499</v>
      </c>
      <c r="AW49" s="92">
        <v>787</v>
      </c>
      <c r="AX49" s="92">
        <f t="shared" si="588"/>
        <v>2286</v>
      </c>
      <c r="AY49" s="92">
        <v>1280</v>
      </c>
      <c r="AZ49" s="92">
        <v>702</v>
      </c>
      <c r="BA49" s="92">
        <f t="shared" si="589"/>
        <v>1982</v>
      </c>
      <c r="BB49" s="105"/>
      <c r="BC49" s="105"/>
      <c r="BD49" s="105"/>
      <c r="BE49" s="92">
        <f t="shared" si="590"/>
        <v>1280</v>
      </c>
      <c r="BF49" s="92">
        <f t="shared" si="590"/>
        <v>702</v>
      </c>
      <c r="BG49" s="92">
        <f t="shared" si="590"/>
        <v>1982</v>
      </c>
      <c r="BH49" s="117">
        <f t="shared" si="591"/>
        <v>0.85390260173448962</v>
      </c>
      <c r="BI49" s="117">
        <f t="shared" si="591"/>
        <v>0.89199491740787806</v>
      </c>
      <c r="BJ49" s="117">
        <f t="shared" si="591"/>
        <v>0.86701662292213477</v>
      </c>
      <c r="BK49" s="28">
        <v>63</v>
      </c>
      <c r="BL49" s="28">
        <v>60</v>
      </c>
      <c r="BM49" s="28">
        <f>BK49+BL49</f>
        <v>123</v>
      </c>
      <c r="BN49" s="92">
        <v>44</v>
      </c>
      <c r="BO49" s="92">
        <v>53</v>
      </c>
      <c r="BP49" s="92">
        <f>BN49+BO49</f>
        <v>97</v>
      </c>
      <c r="BQ49" s="105"/>
      <c r="BR49" s="105"/>
      <c r="BS49" s="105"/>
      <c r="BT49" s="92">
        <f>+BN49+BQ49</f>
        <v>44</v>
      </c>
      <c r="BU49" s="92">
        <f>+BO49+BR49</f>
        <v>53</v>
      </c>
      <c r="BV49" s="92">
        <f>+BP49+BS49</f>
        <v>97</v>
      </c>
      <c r="BW49" s="117">
        <f>BT49/BK49</f>
        <v>0.69841269841269837</v>
      </c>
      <c r="BX49" s="117">
        <f>BU49/BL49</f>
        <v>0.8833333333333333</v>
      </c>
      <c r="BY49" s="117">
        <f>BV49/BM49</f>
        <v>0.78861788617886175</v>
      </c>
      <c r="BZ49" s="98">
        <f t="shared" si="592"/>
        <v>1562</v>
      </c>
      <c r="CA49" s="98">
        <f t="shared" si="592"/>
        <v>847</v>
      </c>
      <c r="CB49" s="98">
        <f t="shared" si="592"/>
        <v>2409</v>
      </c>
      <c r="CC49" s="28">
        <f t="shared" si="592"/>
        <v>1324</v>
      </c>
      <c r="CD49" s="28">
        <f t="shared" si="592"/>
        <v>755</v>
      </c>
      <c r="CE49" s="28">
        <f t="shared" si="592"/>
        <v>2079</v>
      </c>
      <c r="CF49" s="106"/>
      <c r="CG49" s="106"/>
      <c r="CH49" s="106"/>
      <c r="CI49" s="28">
        <f t="shared" si="593"/>
        <v>1324</v>
      </c>
      <c r="CJ49" s="28">
        <f t="shared" si="593"/>
        <v>755</v>
      </c>
      <c r="CK49" s="28">
        <f t="shared" si="593"/>
        <v>2079</v>
      </c>
      <c r="CL49" s="117">
        <f t="shared" si="594"/>
        <v>0.84763124199743922</v>
      </c>
      <c r="CM49" s="117">
        <f t="shared" si="594"/>
        <v>0.89138134592680052</v>
      </c>
      <c r="CN49" s="117">
        <f t="shared" si="594"/>
        <v>0.86301369863013699</v>
      </c>
      <c r="CO49" s="92">
        <v>5</v>
      </c>
      <c r="CP49" s="92">
        <v>0</v>
      </c>
      <c r="CQ49" s="92">
        <f>+CO49+CP49</f>
        <v>5</v>
      </c>
      <c r="CR49" s="92">
        <v>4</v>
      </c>
      <c r="CS49" s="92">
        <v>0</v>
      </c>
      <c r="CT49" s="92">
        <f>+CR49+CS49</f>
        <v>4</v>
      </c>
      <c r="CU49" s="105"/>
      <c r="CV49" s="105"/>
      <c r="CW49" s="105"/>
      <c r="CX49" s="92">
        <f t="shared" si="606"/>
        <v>4</v>
      </c>
      <c r="CY49" s="92">
        <f t="shared" si="606"/>
        <v>0</v>
      </c>
      <c r="CZ49" s="92">
        <f t="shared" si="606"/>
        <v>4</v>
      </c>
      <c r="DA49" s="117">
        <f>CX49/CO49</f>
        <v>0.8</v>
      </c>
      <c r="DB49" s="117">
        <v>0</v>
      </c>
      <c r="DC49" s="117">
        <f>CZ49/CQ49</f>
        <v>0.8</v>
      </c>
      <c r="DD49" s="106"/>
      <c r="DE49" s="106"/>
      <c r="DF49" s="106"/>
      <c r="DG49" s="105"/>
      <c r="DH49" s="105"/>
      <c r="DI49" s="105"/>
      <c r="DJ49" s="105"/>
      <c r="DK49" s="105"/>
      <c r="DL49" s="105"/>
      <c r="DM49" s="105"/>
      <c r="DN49" s="105"/>
      <c r="DO49" s="105"/>
      <c r="DP49" s="112"/>
      <c r="DQ49" s="112"/>
      <c r="DR49" s="112"/>
      <c r="DS49" s="98">
        <f t="shared" si="614"/>
        <v>5</v>
      </c>
      <c r="DT49" s="98">
        <f t="shared" si="614"/>
        <v>0</v>
      </c>
      <c r="DU49" s="28">
        <f t="shared" si="614"/>
        <v>5</v>
      </c>
      <c r="DV49" s="28">
        <f t="shared" si="614"/>
        <v>4</v>
      </c>
      <c r="DW49" s="28">
        <f t="shared" si="614"/>
        <v>0</v>
      </c>
      <c r="DX49" s="28">
        <f t="shared" si="614"/>
        <v>4</v>
      </c>
      <c r="DY49" s="106"/>
      <c r="DZ49" s="106"/>
      <c r="EA49" s="106"/>
      <c r="EB49" s="28">
        <f t="shared" si="615"/>
        <v>4</v>
      </c>
      <c r="EC49" s="28">
        <f t="shared" si="615"/>
        <v>0</v>
      </c>
      <c r="ED49" s="28">
        <f t="shared" si="615"/>
        <v>4</v>
      </c>
      <c r="EE49" s="117">
        <f>EB49/DS49</f>
        <v>0.8</v>
      </c>
      <c r="EF49" s="117">
        <v>0</v>
      </c>
      <c r="EG49" s="117">
        <f>ED49/DU49</f>
        <v>0.8</v>
      </c>
      <c r="EH49" s="28">
        <f t="shared" si="573"/>
        <v>12245</v>
      </c>
      <c r="EI49" s="28">
        <f t="shared" si="573"/>
        <v>5096</v>
      </c>
      <c r="EJ49" s="28">
        <f t="shared" si="595"/>
        <v>17341</v>
      </c>
      <c r="EK49" s="28">
        <v>6530</v>
      </c>
      <c r="EL49" s="28">
        <v>3080</v>
      </c>
      <c r="EM49" s="28">
        <f>EK49+EL49</f>
        <v>9610</v>
      </c>
      <c r="EN49" s="100">
        <f t="shared" si="611"/>
        <v>53.32788893425888</v>
      </c>
      <c r="EO49" s="93">
        <f t="shared" si="611"/>
        <v>60.439560439560438</v>
      </c>
      <c r="EP49" s="93">
        <f t="shared" si="611"/>
        <v>55.417795974857277</v>
      </c>
      <c r="EQ49" s="28">
        <f t="shared" si="598"/>
        <v>1324</v>
      </c>
      <c r="ER49" s="28">
        <f t="shared" si="598"/>
        <v>755</v>
      </c>
      <c r="ES49" s="28">
        <f t="shared" si="598"/>
        <v>2079</v>
      </c>
      <c r="ET49" s="28">
        <v>550</v>
      </c>
      <c r="EU49" s="28">
        <v>680</v>
      </c>
      <c r="EV49" s="28">
        <f>ET49+EU49</f>
        <v>1230</v>
      </c>
      <c r="EW49" s="93">
        <f t="shared" si="612"/>
        <v>41.540785498489427</v>
      </c>
      <c r="EX49" s="93">
        <f t="shared" si="612"/>
        <v>90.066225165562912</v>
      </c>
      <c r="EY49" s="93">
        <f t="shared" si="612"/>
        <v>59.16305916305916</v>
      </c>
      <c r="EZ49" s="28">
        <f t="shared" si="610"/>
        <v>4</v>
      </c>
      <c r="FA49" s="28">
        <f t="shared" si="610"/>
        <v>0</v>
      </c>
      <c r="FB49" s="28">
        <f t="shared" si="610"/>
        <v>4</v>
      </c>
      <c r="FC49" s="28">
        <v>3</v>
      </c>
      <c r="FD49" s="28">
        <v>0</v>
      </c>
      <c r="FE49" s="28">
        <f>FC49+FD49</f>
        <v>3</v>
      </c>
      <c r="FF49" s="93">
        <f>+FC49*100/EZ49</f>
        <v>75</v>
      </c>
      <c r="FG49" s="93">
        <v>0</v>
      </c>
      <c r="FH49" s="93">
        <f>+FE49*100/FB49</f>
        <v>75</v>
      </c>
    </row>
    <row r="50" spans="1:164" ht="27" customHeight="1" x14ac:dyDescent="0.25">
      <c r="A50" s="94">
        <v>41</v>
      </c>
      <c r="B50" s="118" t="s">
        <v>214</v>
      </c>
      <c r="C50" s="75">
        <v>752</v>
      </c>
      <c r="D50" s="75">
        <v>56</v>
      </c>
      <c r="E50" s="75">
        <f t="shared" si="566"/>
        <v>808</v>
      </c>
      <c r="F50" s="75">
        <v>667</v>
      </c>
      <c r="G50" s="75">
        <v>49</v>
      </c>
      <c r="H50" s="75">
        <f t="shared" si="567"/>
        <v>716</v>
      </c>
      <c r="I50" s="105"/>
      <c r="J50" s="105"/>
      <c r="K50" s="105"/>
      <c r="L50" s="97">
        <f t="shared" si="568"/>
        <v>667</v>
      </c>
      <c r="M50" s="98">
        <f t="shared" si="568"/>
        <v>49</v>
      </c>
      <c r="N50" s="98">
        <f t="shared" si="568"/>
        <v>716</v>
      </c>
      <c r="O50" s="117">
        <f t="shared" si="565"/>
        <v>0.88696808510638303</v>
      </c>
      <c r="P50" s="117">
        <f t="shared" si="569"/>
        <v>0.875</v>
      </c>
      <c r="Q50" s="117">
        <f t="shared" si="569"/>
        <v>0.88613861386138615</v>
      </c>
      <c r="R50" s="28">
        <v>42</v>
      </c>
      <c r="S50" s="28">
        <v>2</v>
      </c>
      <c r="T50" s="28">
        <f>R50+S50</f>
        <v>44</v>
      </c>
      <c r="U50" s="28">
        <v>30</v>
      </c>
      <c r="V50" s="28">
        <v>2</v>
      </c>
      <c r="W50" s="28">
        <f>U50+V50</f>
        <v>32</v>
      </c>
      <c r="X50" s="106"/>
      <c r="Y50" s="106"/>
      <c r="Z50" s="106"/>
      <c r="AA50" s="28">
        <f t="shared" si="616"/>
        <v>30</v>
      </c>
      <c r="AB50" s="28">
        <f t="shared" si="616"/>
        <v>2</v>
      </c>
      <c r="AC50" s="28">
        <f t="shared" si="616"/>
        <v>32</v>
      </c>
      <c r="AD50" s="117">
        <f t="shared" si="617"/>
        <v>0.7142857142857143</v>
      </c>
      <c r="AE50" s="117">
        <f t="shared" si="617"/>
        <v>1</v>
      </c>
      <c r="AF50" s="117">
        <f t="shared" si="617"/>
        <v>0.72727272727272729</v>
      </c>
      <c r="AG50" s="28">
        <f t="shared" si="601"/>
        <v>794</v>
      </c>
      <c r="AH50" s="28">
        <f t="shared" si="601"/>
        <v>58</v>
      </c>
      <c r="AI50" s="28">
        <f t="shared" si="579"/>
        <v>852</v>
      </c>
      <c r="AJ50" s="28">
        <f t="shared" si="602"/>
        <v>697</v>
      </c>
      <c r="AK50" s="28">
        <f t="shared" si="602"/>
        <v>51</v>
      </c>
      <c r="AL50" s="28">
        <f t="shared" si="582"/>
        <v>748</v>
      </c>
      <c r="AM50" s="106"/>
      <c r="AN50" s="106"/>
      <c r="AO50" s="106"/>
      <c r="AP50" s="28">
        <f t="shared" si="604"/>
        <v>697</v>
      </c>
      <c r="AQ50" s="28">
        <f t="shared" si="604"/>
        <v>51</v>
      </c>
      <c r="AR50" s="28">
        <f t="shared" si="587"/>
        <v>748</v>
      </c>
      <c r="AS50" s="117">
        <f t="shared" si="572"/>
        <v>0.87783375314861456</v>
      </c>
      <c r="AT50" s="117">
        <f t="shared" si="572"/>
        <v>0.87931034482758619</v>
      </c>
      <c r="AU50" s="117">
        <f t="shared" si="572"/>
        <v>0.8779342723004695</v>
      </c>
      <c r="AV50" s="370">
        <v>20</v>
      </c>
      <c r="AW50" s="370">
        <v>7</v>
      </c>
      <c r="AX50" s="370">
        <f t="shared" si="588"/>
        <v>27</v>
      </c>
      <c r="AY50" s="370">
        <v>14</v>
      </c>
      <c r="AZ50" s="370">
        <v>5</v>
      </c>
      <c r="BA50" s="92">
        <f t="shared" si="589"/>
        <v>19</v>
      </c>
      <c r="BB50" s="105"/>
      <c r="BC50" s="105"/>
      <c r="BD50" s="105"/>
      <c r="BE50" s="92">
        <f t="shared" si="590"/>
        <v>14</v>
      </c>
      <c r="BF50" s="92">
        <f t="shared" si="590"/>
        <v>5</v>
      </c>
      <c r="BG50" s="92">
        <f t="shared" si="590"/>
        <v>19</v>
      </c>
      <c r="BH50" s="117">
        <f t="shared" si="591"/>
        <v>0.7</v>
      </c>
      <c r="BI50" s="117">
        <f t="shared" si="591"/>
        <v>0.7142857142857143</v>
      </c>
      <c r="BJ50" s="117">
        <f t="shared" si="591"/>
        <v>0.70370370370370372</v>
      </c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98">
        <f t="shared" si="592"/>
        <v>20</v>
      </c>
      <c r="CA50" s="98">
        <f t="shared" si="592"/>
        <v>7</v>
      </c>
      <c r="CB50" s="98">
        <f t="shared" si="592"/>
        <v>27</v>
      </c>
      <c r="CC50" s="28">
        <f t="shared" si="592"/>
        <v>14</v>
      </c>
      <c r="CD50" s="28">
        <f t="shared" si="592"/>
        <v>5</v>
      </c>
      <c r="CE50" s="28">
        <f t="shared" si="592"/>
        <v>19</v>
      </c>
      <c r="CF50" s="106"/>
      <c r="CG50" s="106"/>
      <c r="CH50" s="106"/>
      <c r="CI50" s="28">
        <f t="shared" si="593"/>
        <v>14</v>
      </c>
      <c r="CJ50" s="28">
        <f t="shared" si="593"/>
        <v>5</v>
      </c>
      <c r="CK50" s="28">
        <f t="shared" si="593"/>
        <v>19</v>
      </c>
      <c r="CL50" s="117">
        <f t="shared" si="594"/>
        <v>0.7</v>
      </c>
      <c r="CM50" s="117">
        <f t="shared" si="594"/>
        <v>0.7142857142857143</v>
      </c>
      <c r="CN50" s="117">
        <f t="shared" si="594"/>
        <v>0.70370370370370372</v>
      </c>
      <c r="CO50" s="92">
        <v>10</v>
      </c>
      <c r="CP50" s="92">
        <v>2</v>
      </c>
      <c r="CQ50" s="92">
        <f>+CO50+CP50</f>
        <v>12</v>
      </c>
      <c r="CR50" s="92">
        <v>9</v>
      </c>
      <c r="CS50" s="92">
        <v>2</v>
      </c>
      <c r="CT50" s="92">
        <f>+CR50+CS50</f>
        <v>11</v>
      </c>
      <c r="CU50" s="105"/>
      <c r="CV50" s="105"/>
      <c r="CW50" s="105"/>
      <c r="CX50" s="92">
        <f t="shared" si="606"/>
        <v>9</v>
      </c>
      <c r="CY50" s="92">
        <f t="shared" si="606"/>
        <v>2</v>
      </c>
      <c r="CZ50" s="92">
        <f t="shared" si="606"/>
        <v>11</v>
      </c>
      <c r="DA50" s="117">
        <f>CX50/CO50</f>
        <v>0.9</v>
      </c>
      <c r="DB50" s="117">
        <v>0</v>
      </c>
      <c r="DC50" s="117">
        <f>CZ50/CQ50</f>
        <v>0.91666666666666663</v>
      </c>
      <c r="DD50" s="107"/>
      <c r="DE50" s="107"/>
      <c r="DF50" s="106"/>
      <c r="DG50" s="105"/>
      <c r="DH50" s="105"/>
      <c r="DI50" s="105"/>
      <c r="DJ50" s="105"/>
      <c r="DK50" s="105"/>
      <c r="DL50" s="105"/>
      <c r="DM50" s="105"/>
      <c r="DN50" s="105"/>
      <c r="DO50" s="105"/>
      <c r="DP50" s="112"/>
      <c r="DQ50" s="112"/>
      <c r="DR50" s="112"/>
      <c r="DS50" s="98">
        <f t="shared" si="614"/>
        <v>10</v>
      </c>
      <c r="DT50" s="98">
        <f t="shared" si="614"/>
        <v>2</v>
      </c>
      <c r="DU50" s="28">
        <f t="shared" si="614"/>
        <v>12</v>
      </c>
      <c r="DV50" s="28">
        <f t="shared" si="614"/>
        <v>9</v>
      </c>
      <c r="DW50" s="28">
        <f t="shared" si="614"/>
        <v>2</v>
      </c>
      <c r="DX50" s="28">
        <f t="shared" si="614"/>
        <v>11</v>
      </c>
      <c r="DY50" s="106"/>
      <c r="DZ50" s="106"/>
      <c r="EA50" s="106"/>
      <c r="EB50" s="28">
        <f t="shared" si="615"/>
        <v>9</v>
      </c>
      <c r="EC50" s="28">
        <f t="shared" si="615"/>
        <v>2</v>
      </c>
      <c r="ED50" s="28">
        <f t="shared" si="615"/>
        <v>11</v>
      </c>
      <c r="EE50" s="117">
        <f>EB50/DS50</f>
        <v>0.9</v>
      </c>
      <c r="EF50" s="117">
        <v>0</v>
      </c>
      <c r="EG50" s="117">
        <f>ED50/DU50</f>
        <v>0.91666666666666663</v>
      </c>
      <c r="EH50" s="28">
        <f t="shared" si="573"/>
        <v>697</v>
      </c>
      <c r="EI50" s="28">
        <f t="shared" si="573"/>
        <v>51</v>
      </c>
      <c r="EJ50" s="28">
        <f t="shared" si="595"/>
        <v>748</v>
      </c>
      <c r="EK50" s="32">
        <v>145</v>
      </c>
      <c r="EL50" s="32">
        <v>13</v>
      </c>
      <c r="EM50" s="28">
        <f>EK50+EL50</f>
        <v>158</v>
      </c>
      <c r="EN50" s="100">
        <f t="shared" si="611"/>
        <v>20.803443328550934</v>
      </c>
      <c r="EO50" s="93">
        <f t="shared" si="611"/>
        <v>25.490196078431371</v>
      </c>
      <c r="EP50" s="93">
        <f t="shared" si="611"/>
        <v>21.122994652406415</v>
      </c>
      <c r="EQ50" s="28">
        <f t="shared" si="598"/>
        <v>14</v>
      </c>
      <c r="ER50" s="28">
        <f t="shared" si="598"/>
        <v>5</v>
      </c>
      <c r="ES50" s="28">
        <f t="shared" si="598"/>
        <v>19</v>
      </c>
      <c r="ET50" s="108"/>
      <c r="EU50" s="108"/>
      <c r="EV50" s="106"/>
      <c r="EW50" s="109"/>
      <c r="EX50" s="109"/>
      <c r="EY50" s="109"/>
      <c r="EZ50" s="28">
        <f t="shared" si="610"/>
        <v>9</v>
      </c>
      <c r="FA50" s="28">
        <f t="shared" si="610"/>
        <v>2</v>
      </c>
      <c r="FB50" s="28">
        <f t="shared" si="610"/>
        <v>11</v>
      </c>
      <c r="FC50" s="109"/>
      <c r="FD50" s="109"/>
      <c r="FE50" s="109"/>
      <c r="FF50" s="109"/>
      <c r="FG50" s="109"/>
      <c r="FH50" s="109"/>
    </row>
    <row r="51" spans="1:164" s="355" customFormat="1" ht="27" customHeight="1" x14ac:dyDescent="0.25">
      <c r="A51" s="504" t="s">
        <v>3</v>
      </c>
      <c r="B51" s="504"/>
      <c r="C51" s="352">
        <f>SUM(C9:C50)</f>
        <v>9473929</v>
      </c>
      <c r="D51" s="352">
        <f t="shared" ref="D51:N51" si="618">SUM(D9:D50)</f>
        <v>8406084</v>
      </c>
      <c r="E51" s="352">
        <f t="shared" si="618"/>
        <v>17880013</v>
      </c>
      <c r="F51" s="352">
        <f t="shared" si="618"/>
        <v>7220469</v>
      </c>
      <c r="G51" s="352">
        <f t="shared" si="618"/>
        <v>6568497</v>
      </c>
      <c r="H51" s="352">
        <f t="shared" si="618"/>
        <v>13788966</v>
      </c>
      <c r="I51" s="352">
        <f t="shared" si="618"/>
        <v>284959</v>
      </c>
      <c r="J51" s="352">
        <f t="shared" si="618"/>
        <v>223649</v>
      </c>
      <c r="K51" s="352">
        <f t="shared" si="618"/>
        <v>508608</v>
      </c>
      <c r="L51" s="352">
        <f t="shared" si="618"/>
        <v>7505428</v>
      </c>
      <c r="M51" s="352">
        <f t="shared" si="618"/>
        <v>6792146</v>
      </c>
      <c r="N51" s="352">
        <f t="shared" si="618"/>
        <v>14297574</v>
      </c>
      <c r="O51" s="353">
        <f t="shared" ref="O51" si="619">L51/C51</f>
        <v>0.79221915215957395</v>
      </c>
      <c r="P51" s="353">
        <f t="shared" ref="P51" si="620">M51/D51</f>
        <v>0.80800358407077544</v>
      </c>
      <c r="Q51" s="353">
        <f t="shared" ref="Q51" si="621">N51/E51</f>
        <v>0.79964002263309319</v>
      </c>
      <c r="R51" s="352">
        <f>SUM(R9:R50)</f>
        <v>874950</v>
      </c>
      <c r="S51" s="352">
        <f t="shared" ref="S51" si="622">SUM(S9:S50)</f>
        <v>574325</v>
      </c>
      <c r="T51" s="352">
        <f t="shared" ref="T51" si="623">SUM(T9:T50)</f>
        <v>1449275</v>
      </c>
      <c r="U51" s="352">
        <f t="shared" ref="U51" si="624">SUM(U9:U50)</f>
        <v>342533</v>
      </c>
      <c r="V51" s="352">
        <f t="shared" ref="V51" si="625">SUM(V9:V50)</f>
        <v>192857</v>
      </c>
      <c r="W51" s="352">
        <f t="shared" ref="W51" si="626">SUM(W9:W50)</f>
        <v>535390</v>
      </c>
      <c r="X51" s="352">
        <f t="shared" ref="X51" si="627">SUM(X9:X50)</f>
        <v>27146</v>
      </c>
      <c r="Y51" s="352">
        <f t="shared" ref="Y51" si="628">SUM(Y9:Y50)</f>
        <v>23986</v>
      </c>
      <c r="Z51" s="352">
        <f t="shared" ref="Z51" si="629">SUM(Z9:Z50)</f>
        <v>51132</v>
      </c>
      <c r="AA51" s="352">
        <f t="shared" ref="AA51" si="630">SUM(AA9:AA50)</f>
        <v>369679</v>
      </c>
      <c r="AB51" s="352">
        <f t="shared" ref="AB51" si="631">SUM(AB9:AB50)</f>
        <v>216843</v>
      </c>
      <c r="AC51" s="352">
        <f t="shared" ref="AC51" si="632">SUM(AC9:AC50)</f>
        <v>586522</v>
      </c>
      <c r="AD51" s="353">
        <f t="shared" ref="AD51" si="633">AA51/R51</f>
        <v>0.42251442939596551</v>
      </c>
      <c r="AE51" s="353">
        <f t="shared" ref="AE51" si="634">AB51/S51</f>
        <v>0.37756148522178207</v>
      </c>
      <c r="AF51" s="353">
        <f t="shared" ref="AF51" si="635">AC51/T51</f>
        <v>0.40470028117507029</v>
      </c>
      <c r="AG51" s="352">
        <f>SUM(AG9:AG50)</f>
        <v>10348879</v>
      </c>
      <c r="AH51" s="352">
        <f t="shared" ref="AH51" si="636">SUM(AH9:AH50)</f>
        <v>8980409</v>
      </c>
      <c r="AI51" s="352">
        <f t="shared" ref="AI51" si="637">SUM(AI9:AI50)</f>
        <v>19329288</v>
      </c>
      <c r="AJ51" s="352">
        <f t="shared" ref="AJ51" si="638">SUM(AJ9:AJ50)</f>
        <v>7563002</v>
      </c>
      <c r="AK51" s="352">
        <f t="shared" ref="AK51" si="639">SUM(AK9:AK50)</f>
        <v>6761354</v>
      </c>
      <c r="AL51" s="352">
        <f t="shared" ref="AL51" si="640">SUM(AL9:AL50)</f>
        <v>14324356</v>
      </c>
      <c r="AM51" s="352">
        <f t="shared" ref="AM51" si="641">SUM(AM9:AM50)</f>
        <v>312105</v>
      </c>
      <c r="AN51" s="352">
        <f t="shared" ref="AN51" si="642">SUM(AN9:AN50)</f>
        <v>247635</v>
      </c>
      <c r="AO51" s="352">
        <f t="shared" ref="AO51" si="643">SUM(AO9:AO50)</f>
        <v>559740</v>
      </c>
      <c r="AP51" s="352">
        <f t="shared" ref="AP51" si="644">SUM(AP9:AP50)</f>
        <v>7875107</v>
      </c>
      <c r="AQ51" s="352">
        <f t="shared" ref="AQ51" si="645">SUM(AQ9:AQ50)</f>
        <v>7008989</v>
      </c>
      <c r="AR51" s="352">
        <f t="shared" ref="AR51" si="646">SUM(AR9:AR50)</f>
        <v>14884096</v>
      </c>
      <c r="AS51" s="353">
        <f t="shared" ref="AS51" si="647">AP51/AG51</f>
        <v>0.76096232258585683</v>
      </c>
      <c r="AT51" s="353">
        <f t="shared" ref="AT51" si="648">AQ51/AH51</f>
        <v>0.78047547723049138</v>
      </c>
      <c r="AU51" s="353">
        <f t="shared" ref="AU51" si="649">AR51/AI51</f>
        <v>0.77002815623627729</v>
      </c>
      <c r="AV51" s="352">
        <f>SUM(AV9:AV50)</f>
        <v>1672890</v>
      </c>
      <c r="AW51" s="352">
        <f t="shared" ref="AW51" si="650">SUM(AW9:AW50)</f>
        <v>1519410</v>
      </c>
      <c r="AX51" s="352">
        <f t="shared" ref="AX51" si="651">SUM(AX9:AX50)</f>
        <v>3192300</v>
      </c>
      <c r="AY51" s="352">
        <f t="shared" ref="AY51" si="652">SUM(AY9:AY50)</f>
        <v>1161922</v>
      </c>
      <c r="AZ51" s="352">
        <f t="shared" ref="AZ51" si="653">SUM(AZ9:AZ50)</f>
        <v>1088896</v>
      </c>
      <c r="BA51" s="352">
        <f t="shared" ref="BA51" si="654">SUM(BA9:BA50)</f>
        <v>2250818</v>
      </c>
      <c r="BB51" s="352">
        <f t="shared" ref="BB51" si="655">SUM(BB9:BB50)</f>
        <v>54262</v>
      </c>
      <c r="BC51" s="352">
        <f t="shared" ref="BC51" si="656">SUM(BC9:BC50)</f>
        <v>45125</v>
      </c>
      <c r="BD51" s="352">
        <f t="shared" ref="BD51" si="657">SUM(BD9:BD50)</f>
        <v>99387</v>
      </c>
      <c r="BE51" s="352">
        <f t="shared" ref="BE51" si="658">SUM(BE9:BE50)</f>
        <v>1216184</v>
      </c>
      <c r="BF51" s="352">
        <f t="shared" ref="BF51" si="659">SUM(BF9:BF50)</f>
        <v>1134021</v>
      </c>
      <c r="BG51" s="352">
        <f t="shared" ref="BG51" si="660">SUM(BG9:BG50)</f>
        <v>2350205</v>
      </c>
      <c r="BH51" s="353">
        <f t="shared" ref="BH51" si="661">BE51/AV51</f>
        <v>0.7269957976914202</v>
      </c>
      <c r="BI51" s="353">
        <f t="shared" ref="BI51" si="662">BF51/AW51</f>
        <v>0.74635615140087275</v>
      </c>
      <c r="BJ51" s="353">
        <f t="shared" ref="BJ51" si="663">BG51/AX51</f>
        <v>0.73621056918209438</v>
      </c>
      <c r="BK51" s="352">
        <f>SUM(BK9:BK50)</f>
        <v>148829</v>
      </c>
      <c r="BL51" s="352">
        <f t="shared" ref="BL51" si="664">SUM(BL9:BL50)</f>
        <v>99651</v>
      </c>
      <c r="BM51" s="352">
        <f t="shared" ref="BM51" si="665">SUM(BM9:BM50)</f>
        <v>248480</v>
      </c>
      <c r="BN51" s="352">
        <f t="shared" ref="BN51" si="666">SUM(BN9:BN50)</f>
        <v>47334</v>
      </c>
      <c r="BO51" s="352">
        <f t="shared" ref="BO51" si="667">SUM(BO9:BO50)</f>
        <v>24895</v>
      </c>
      <c r="BP51" s="352">
        <f t="shared" ref="BP51" si="668">SUM(BP9:BP50)</f>
        <v>72229</v>
      </c>
      <c r="BQ51" s="352">
        <f t="shared" ref="BQ51" si="669">SUM(BQ9:BQ50)</f>
        <v>5268</v>
      </c>
      <c r="BR51" s="352">
        <f t="shared" ref="BR51" si="670">SUM(BR9:BR50)</f>
        <v>4681</v>
      </c>
      <c r="BS51" s="352">
        <f t="shared" ref="BS51" si="671">SUM(BS9:BS50)</f>
        <v>9949</v>
      </c>
      <c r="BT51" s="352">
        <f t="shared" ref="BT51" si="672">SUM(BT9:BT50)</f>
        <v>52602</v>
      </c>
      <c r="BU51" s="352">
        <f t="shared" ref="BU51" si="673">SUM(BU9:BU50)</f>
        <v>29576</v>
      </c>
      <c r="BV51" s="352">
        <f t="shared" ref="BV51" si="674">SUM(BV9:BV50)</f>
        <v>82178</v>
      </c>
      <c r="BW51" s="353">
        <f t="shared" ref="BW51" si="675">BT51/BK51</f>
        <v>0.35343918187987555</v>
      </c>
      <c r="BX51" s="353">
        <f t="shared" ref="BX51" si="676">BU51/BL51</f>
        <v>0.29679581740273553</v>
      </c>
      <c r="BY51" s="353">
        <f t="shared" ref="BY51" si="677">BV51/BM51</f>
        <v>0.33072279459111398</v>
      </c>
      <c r="BZ51" s="352">
        <f>SUM(BZ9:BZ50)</f>
        <v>1821719</v>
      </c>
      <c r="CA51" s="352">
        <f t="shared" ref="CA51" si="678">SUM(CA9:CA50)</f>
        <v>1619061</v>
      </c>
      <c r="CB51" s="352">
        <f t="shared" ref="CB51" si="679">SUM(CB9:CB50)</f>
        <v>3440780</v>
      </c>
      <c r="CC51" s="352">
        <f t="shared" ref="CC51" si="680">SUM(CC9:CC50)</f>
        <v>1209256</v>
      </c>
      <c r="CD51" s="352">
        <f t="shared" ref="CD51" si="681">SUM(CD9:CD50)</f>
        <v>1113791</v>
      </c>
      <c r="CE51" s="352">
        <f t="shared" ref="CE51" si="682">SUM(CE9:CE50)</f>
        <v>2323047</v>
      </c>
      <c r="CF51" s="352">
        <f t="shared" ref="CF51" si="683">SUM(CF9:CF50)</f>
        <v>59530</v>
      </c>
      <c r="CG51" s="352">
        <f t="shared" ref="CG51" si="684">SUM(CG9:CG50)</f>
        <v>49806</v>
      </c>
      <c r="CH51" s="352">
        <f t="shared" ref="CH51" si="685">SUM(CH9:CH50)</f>
        <v>109336</v>
      </c>
      <c r="CI51" s="352">
        <f t="shared" ref="CI51" si="686">SUM(CI9:CI50)</f>
        <v>1268786</v>
      </c>
      <c r="CJ51" s="352">
        <f t="shared" ref="CJ51" si="687">SUM(CJ9:CJ50)</f>
        <v>1163597</v>
      </c>
      <c r="CK51" s="352">
        <f t="shared" ref="CK51" si="688">SUM(CK9:CK50)</f>
        <v>2432383</v>
      </c>
      <c r="CL51" s="353">
        <f t="shared" ref="CL51" si="689">CI51/BZ51</f>
        <v>0.69647733816247182</v>
      </c>
      <c r="CM51" s="353">
        <f t="shared" ref="CM51" si="690">CJ51/CA51</f>
        <v>0.7186863249747848</v>
      </c>
      <c r="CN51" s="353">
        <f t="shared" ref="CN51" si="691">CK51/CB51</f>
        <v>0.70692778962909575</v>
      </c>
      <c r="CO51" s="352">
        <f>SUM(CO9:CO50)</f>
        <v>678660</v>
      </c>
      <c r="CP51" s="352">
        <f t="shared" ref="CP51" si="692">SUM(CP9:CP50)</f>
        <v>666005</v>
      </c>
      <c r="CQ51" s="352">
        <f t="shared" ref="CQ51" si="693">SUM(CQ9:CQ50)</f>
        <v>1344665</v>
      </c>
      <c r="CR51" s="352">
        <f t="shared" ref="CR51" si="694">SUM(CR9:CR50)</f>
        <v>458422</v>
      </c>
      <c r="CS51" s="352">
        <f t="shared" ref="CS51" si="695">SUM(CS9:CS50)</f>
        <v>444348</v>
      </c>
      <c r="CT51" s="352">
        <f t="shared" ref="CT51" si="696">SUM(CT9:CT50)</f>
        <v>902770</v>
      </c>
      <c r="CU51" s="352">
        <f t="shared" ref="CU51" si="697">SUM(CU9:CU50)</f>
        <v>28361</v>
      </c>
      <c r="CV51" s="352">
        <f t="shared" ref="CV51" si="698">SUM(CV9:CV50)</f>
        <v>29089</v>
      </c>
      <c r="CW51" s="352">
        <f t="shared" ref="CW51" si="699">SUM(CW9:CW50)</f>
        <v>57450</v>
      </c>
      <c r="CX51" s="352">
        <f t="shared" ref="CX51" si="700">SUM(CX9:CX50)</f>
        <v>486783</v>
      </c>
      <c r="CY51" s="352">
        <f t="shared" ref="CY51" si="701">SUM(CY9:CY50)</f>
        <v>473437</v>
      </c>
      <c r="CZ51" s="352">
        <f t="shared" ref="CZ51" si="702">SUM(CZ9:CZ50)</f>
        <v>960220</v>
      </c>
      <c r="DA51" s="353">
        <f>CX51/CO51</f>
        <v>0.71727079833790119</v>
      </c>
      <c r="DB51" s="353">
        <f t="shared" ref="DB51" si="703">CY51/CP51</f>
        <v>0.71086102957185004</v>
      </c>
      <c r="DC51" s="353">
        <f t="shared" ref="DC51" si="704">CZ51/CQ51</f>
        <v>0.71409607597431335</v>
      </c>
      <c r="DD51" s="352">
        <f>SUM(DD9:DD50)</f>
        <v>81992</v>
      </c>
      <c r="DE51" s="352">
        <f t="shared" ref="DE51" si="705">SUM(DE9:DE50)</f>
        <v>68453</v>
      </c>
      <c r="DF51" s="352">
        <f t="shared" ref="DF51" si="706">SUM(DF9:DF50)</f>
        <v>150445</v>
      </c>
      <c r="DG51" s="352">
        <f t="shared" ref="DG51" si="707">SUM(DG9:DG50)</f>
        <v>19710</v>
      </c>
      <c r="DH51" s="352">
        <f t="shared" ref="DH51" si="708">SUM(DH9:DH50)</f>
        <v>15859</v>
      </c>
      <c r="DI51" s="352">
        <f t="shared" ref="DI51" si="709">SUM(DI9:DI50)</f>
        <v>35569</v>
      </c>
      <c r="DJ51" s="352">
        <f t="shared" ref="DJ51" si="710">SUM(DJ9:DJ50)</f>
        <v>4483</v>
      </c>
      <c r="DK51" s="352">
        <f t="shared" ref="DK51" si="711">SUM(DK9:DK50)</f>
        <v>3849</v>
      </c>
      <c r="DL51" s="352">
        <f t="shared" ref="DL51" si="712">SUM(DL9:DL50)</f>
        <v>8332</v>
      </c>
      <c r="DM51" s="352">
        <f t="shared" ref="DM51" si="713">SUM(DM9:DM50)</f>
        <v>24193</v>
      </c>
      <c r="DN51" s="352">
        <f t="shared" ref="DN51" si="714">SUM(DN9:DN50)</f>
        <v>19708</v>
      </c>
      <c r="DO51" s="352">
        <f t="shared" ref="DO51" si="715">SUM(DO9:DO50)</f>
        <v>43901</v>
      </c>
      <c r="DP51" s="120">
        <f t="shared" ref="DP51" si="716">DM51/DD51</f>
        <v>0.2950653722314372</v>
      </c>
      <c r="DQ51" s="120">
        <f t="shared" ref="DQ51" si="717">DN51/DE51</f>
        <v>0.2879055702452778</v>
      </c>
      <c r="DR51" s="120">
        <f t="shared" ref="DR51" si="718">DO51/DF51</f>
        <v>0.29180763734255044</v>
      </c>
      <c r="DS51" s="352">
        <f t="shared" ref="DS51" si="719">SUM(DS9:DS50)</f>
        <v>760652</v>
      </c>
      <c r="DT51" s="352">
        <f t="shared" ref="DT51" si="720">SUM(DT9:DT50)</f>
        <v>734458</v>
      </c>
      <c r="DU51" s="352">
        <f t="shared" ref="DU51" si="721">SUM(DU9:DU50)</f>
        <v>1495110</v>
      </c>
      <c r="DV51" s="352">
        <f t="shared" ref="DV51" si="722">SUM(DV9:DV50)</f>
        <v>478132</v>
      </c>
      <c r="DW51" s="352">
        <f t="shared" ref="DW51" si="723">SUM(DW9:DW50)</f>
        <v>460207</v>
      </c>
      <c r="DX51" s="352">
        <f t="shared" ref="DX51" si="724">SUM(DX9:DX50)</f>
        <v>938339</v>
      </c>
      <c r="DY51" s="352">
        <f t="shared" ref="DY51" si="725">SUM(DY9:DY50)</f>
        <v>32844</v>
      </c>
      <c r="DZ51" s="352">
        <f t="shared" ref="DZ51" si="726">SUM(DZ9:DZ50)</f>
        <v>32938</v>
      </c>
      <c r="EA51" s="352">
        <f t="shared" ref="EA51" si="727">SUM(EA9:EA50)</f>
        <v>65782</v>
      </c>
      <c r="EB51" s="352">
        <f t="shared" ref="EB51" si="728">SUM(EB9:EB50)</f>
        <v>510976</v>
      </c>
      <c r="EC51" s="352">
        <f t="shared" ref="EC51" si="729">SUM(EC9:EC50)</f>
        <v>493145</v>
      </c>
      <c r="ED51" s="352">
        <f t="shared" ref="ED51" si="730">SUM(ED9:ED50)</f>
        <v>1004121</v>
      </c>
      <c r="EE51" s="353">
        <f t="shared" ref="EE51" si="731">EB51/DS51</f>
        <v>0.67176054227163018</v>
      </c>
      <c r="EF51" s="353">
        <f t="shared" ref="EF51" si="732">EC51/DT51</f>
        <v>0.67144070865862993</v>
      </c>
      <c r="EG51" s="353">
        <f t="shared" ref="EG51" si="733">ED51/DU51</f>
        <v>0.67160342717258259</v>
      </c>
      <c r="EH51" s="352">
        <f t="shared" ref="EH51" si="734">SUM(EH9:EH50)</f>
        <v>7875107</v>
      </c>
      <c r="EI51" s="352">
        <f t="shared" ref="EI51" si="735">SUM(EI9:EI50)</f>
        <v>7008989</v>
      </c>
      <c r="EJ51" s="352">
        <f t="shared" ref="EJ51" si="736">SUM(EJ9:EJ50)</f>
        <v>14882162</v>
      </c>
      <c r="EK51" s="352">
        <f t="shared" ref="EK51" si="737">SUM(EK9:EK50)</f>
        <v>3955621</v>
      </c>
      <c r="EL51" s="352">
        <f t="shared" ref="EL51" si="738">SUM(EL9:EL50)</f>
        <v>3777318</v>
      </c>
      <c r="EM51" s="352">
        <f t="shared" ref="EM51" si="739">SUM(EM9:EM50)</f>
        <v>7925788</v>
      </c>
      <c r="EN51" s="350">
        <f t="shared" ref="EN51" si="740">+EK51*100/EH51</f>
        <v>50.229425454155731</v>
      </c>
      <c r="EO51" s="351">
        <f t="shared" ref="EO51" si="741">+EL51*100/EI51</f>
        <v>53.892480070948892</v>
      </c>
      <c r="EP51" s="351">
        <f t="shared" ref="EP51" si="742">+EM51*100/EJ51</f>
        <v>53.256966292935125</v>
      </c>
      <c r="EQ51" s="352">
        <f t="shared" ref="EQ51" si="743">SUM(EQ9:EQ50)</f>
        <v>1268786</v>
      </c>
      <c r="ER51" s="352">
        <f t="shared" ref="ER51" si="744">SUM(ER9:ER50)</f>
        <v>1163597</v>
      </c>
      <c r="ES51" s="352">
        <f t="shared" ref="ES51" si="745">SUM(ES9:ES50)</f>
        <v>2432383</v>
      </c>
      <c r="ET51" s="352">
        <f t="shared" ref="ET51" si="746">SUM(ET9:ET50)</f>
        <v>555688</v>
      </c>
      <c r="EU51" s="352">
        <f t="shared" ref="EU51" si="747">SUM(EU9:EU50)</f>
        <v>563305</v>
      </c>
      <c r="EV51" s="352">
        <f t="shared" ref="EV51" si="748">SUM(EV9:EV50)</f>
        <v>1123350</v>
      </c>
      <c r="EW51" s="354">
        <f t="shared" ref="EW51" si="749">+ET51*100/EQ51</f>
        <v>43.796826257540673</v>
      </c>
      <c r="EX51" s="354">
        <f t="shared" ref="EX51" si="750">+EU51*100/ER51</f>
        <v>48.410661079394323</v>
      </c>
      <c r="EY51" s="354">
        <f t="shared" ref="EY51" si="751">+EV51*100/ES51</f>
        <v>46.183105209993656</v>
      </c>
      <c r="EZ51" s="352">
        <f t="shared" ref="EZ51" si="752">SUM(EZ9:EZ50)</f>
        <v>510976</v>
      </c>
      <c r="FA51" s="352">
        <f t="shared" ref="FA51" si="753">SUM(FA9:FA50)</f>
        <v>493145</v>
      </c>
      <c r="FB51" s="352">
        <f t="shared" ref="FB51" si="754">SUM(FB9:FB50)</f>
        <v>1004121</v>
      </c>
      <c r="FC51" s="352">
        <f t="shared" ref="FC51" si="755">SUM(FC9:FC50)</f>
        <v>154818</v>
      </c>
      <c r="FD51" s="352">
        <f t="shared" ref="FD51" si="756">SUM(FD9:FD50)</f>
        <v>148363</v>
      </c>
      <c r="FE51" s="352">
        <f t="shared" ref="FE51" si="757">SUM(FE9:FE50)</f>
        <v>303575</v>
      </c>
      <c r="FF51" s="354">
        <f t="shared" ref="FF51" si="758">+FC51*100/EZ51</f>
        <v>30.298487600200399</v>
      </c>
      <c r="FG51" s="354">
        <f t="shared" ref="FG51" si="759">+FD51*100/FA51</f>
        <v>30.085066258402701</v>
      </c>
      <c r="FH51" s="354">
        <f t="shared" ref="FH51" si="760">+FE51*100/FB51</f>
        <v>30.232910177159923</v>
      </c>
    </row>
    <row r="52" spans="1:164" x14ac:dyDescent="0.25">
      <c r="C52" s="509" t="s">
        <v>278</v>
      </c>
      <c r="D52" s="509"/>
      <c r="E52" s="509"/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121" t="str">
        <f>+C52</f>
        <v>** Figures pertains to 'ALIM' and 'High Madarsa' as both are equivalent to High School Examination.</v>
      </c>
      <c r="AG52" s="121" t="str">
        <f>+R52</f>
        <v>** Figures pertains to 'ALIM' and 'High Madarsa' as both are equivalent to High School Examination.</v>
      </c>
      <c r="AV52" s="121" t="str">
        <f>+AG52</f>
        <v>** Figures pertains to 'ALIM' and 'High Madarsa' as both are equivalent to High School Examination.</v>
      </c>
      <c r="BK52" s="121" t="str">
        <f>+AV52</f>
        <v>** Figures pertains to 'ALIM' and 'High Madarsa' as both are equivalent to High School Examination.</v>
      </c>
      <c r="BZ52" s="121" t="str">
        <f>+BK52</f>
        <v>** Figures pertains to 'ALIM' and 'High Madarsa' as both are equivalent to High School Examination.</v>
      </c>
      <c r="CO52" s="121" t="str">
        <f>+BZ52</f>
        <v>** Figures pertains to 'ALIM' and 'High Madarsa' as both are equivalent to High School Examination.</v>
      </c>
      <c r="DD52" s="121" t="str">
        <f>+CO52</f>
        <v>** Figures pertains to 'ALIM' and 'High Madarsa' as both are equivalent to High School Examination.</v>
      </c>
      <c r="DS52" s="121" t="str">
        <f>+DD52</f>
        <v>** Figures pertains to 'ALIM' and 'High Madarsa' as both are equivalent to High School Examination.</v>
      </c>
      <c r="EH52" s="121" t="str">
        <f>+DS52</f>
        <v>** Figures pertains to 'ALIM' and 'High Madarsa' as both are equivalent to High School Examination.</v>
      </c>
      <c r="EQ52" s="121" t="str">
        <f>DS52</f>
        <v>** Figures pertains to 'ALIM' and 'High Madarsa' as both are equivalent to High School Examination.</v>
      </c>
      <c r="EZ52" s="121" t="str">
        <f>EQ52</f>
        <v>** Figures pertains to 'ALIM' and 'High Madarsa' as both are equivalent to High School Examination.</v>
      </c>
    </row>
    <row r="53" spans="1:164" x14ac:dyDescent="0.25">
      <c r="C53" s="509" t="s">
        <v>248</v>
      </c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121" t="str">
        <f>+C53</f>
        <v># The Institute is mainly meant for Women, Boys enrolment pertains to wards of the staff.</v>
      </c>
      <c r="AG53" s="121" t="str">
        <f>+R53</f>
        <v># The Institute is mainly meant for Women, Boys enrolment pertains to wards of the staff.</v>
      </c>
      <c r="AV53" s="121" t="str">
        <f>+AG53</f>
        <v># The Institute is mainly meant for Women, Boys enrolment pertains to wards of the staff.</v>
      </c>
      <c r="BK53" s="121" t="str">
        <f>+AV53</f>
        <v># The Institute is mainly meant for Women, Boys enrolment pertains to wards of the staff.</v>
      </c>
      <c r="BZ53" s="121" t="str">
        <f>+BK53</f>
        <v># The Institute is mainly meant for Women, Boys enrolment pertains to wards of the staff.</v>
      </c>
      <c r="CO53" s="121" t="str">
        <f>+BZ53</f>
        <v># The Institute is mainly meant for Women, Boys enrolment pertains to wards of the staff.</v>
      </c>
      <c r="DD53" s="121" t="str">
        <f>+CO53</f>
        <v># The Institute is mainly meant for Women, Boys enrolment pertains to wards of the staff.</v>
      </c>
      <c r="DS53" s="121" t="str">
        <f>+DD53</f>
        <v># The Institute is mainly meant for Women, Boys enrolment pertains to wards of the staff.</v>
      </c>
      <c r="EH53" s="121" t="str">
        <f>+DS53</f>
        <v># The Institute is mainly meant for Women, Boys enrolment pertains to wards of the staff.</v>
      </c>
      <c r="EQ53" s="121" t="str">
        <f t="shared" ref="EQ53:EQ55" si="761">DS53</f>
        <v># The Institute is mainly meant for Women, Boys enrolment pertains to wards of the staff.</v>
      </c>
      <c r="EZ53" s="121" t="str">
        <f t="shared" ref="EZ53:EZ55" si="762">EQ53</f>
        <v># The Institute is mainly meant for Women, Boys enrolment pertains to wards of the staff.</v>
      </c>
    </row>
    <row r="54" spans="1:164" x14ac:dyDescent="0.25">
      <c r="C54" s="509" t="s">
        <v>228</v>
      </c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121" t="str">
        <f>+C54</f>
        <v>Black cell indicates that either system does not exist or information is not available.</v>
      </c>
      <c r="AG54" s="121" t="str">
        <f>+R54</f>
        <v>Black cell indicates that either system does not exist or information is not available.</v>
      </c>
      <c r="AV54" s="121" t="str">
        <f>+AG54</f>
        <v>Black cell indicates that either system does not exist or information is not available.</v>
      </c>
      <c r="BK54" s="121" t="str">
        <f>+AV54</f>
        <v>Black cell indicates that either system does not exist or information is not available.</v>
      </c>
      <c r="BZ54" s="121" t="str">
        <f>+BK54</f>
        <v>Black cell indicates that either system does not exist or information is not available.</v>
      </c>
      <c r="CO54" s="121" t="str">
        <f>+BZ54</f>
        <v>Black cell indicates that either system does not exist or information is not available.</v>
      </c>
      <c r="DD54" s="121" t="str">
        <f>+CO54</f>
        <v>Black cell indicates that either system does not exist or information is not available.</v>
      </c>
      <c r="DS54" s="121" t="str">
        <f>+DD54</f>
        <v>Black cell indicates that either system does not exist or information is not available.</v>
      </c>
      <c r="EH54" s="121" t="str">
        <f>+DS54</f>
        <v>Black cell indicates that either system does not exist or information is not available.</v>
      </c>
      <c r="EQ54" s="121" t="str">
        <f t="shared" si="761"/>
        <v>Black cell indicates that either system does not exist or information is not available.</v>
      </c>
      <c r="EZ54" s="121" t="str">
        <f t="shared" si="762"/>
        <v>Black cell indicates that either system does not exist or information is not available.</v>
      </c>
    </row>
    <row r="55" spans="1:164" x14ac:dyDescent="0.25">
      <c r="C55" s="509" t="s">
        <v>317</v>
      </c>
      <c r="D55" s="509"/>
      <c r="E55" s="509"/>
      <c r="F55" s="509"/>
      <c r="G55" s="509"/>
      <c r="H55" s="509"/>
      <c r="I55" s="509"/>
      <c r="J55" s="509"/>
      <c r="K55" s="509"/>
      <c r="L55" s="509"/>
      <c r="M55" s="509"/>
      <c r="N55" s="509"/>
      <c r="O55" s="509"/>
      <c r="P55" s="509"/>
      <c r="Q55" s="509"/>
      <c r="R55" s="121" t="str">
        <f>+C55</f>
        <v>@ Data is provisional.</v>
      </c>
      <c r="AG55" s="121" t="str">
        <f>+R55</f>
        <v>@ Data is provisional.</v>
      </c>
      <c r="AV55" s="121" t="str">
        <f>+AG55</f>
        <v>@ Data is provisional.</v>
      </c>
      <c r="BK55" s="121" t="str">
        <f>+AV55</f>
        <v>@ Data is provisional.</v>
      </c>
      <c r="BZ55" s="121" t="str">
        <f>+BK55</f>
        <v>@ Data is provisional.</v>
      </c>
      <c r="CO55" s="121" t="str">
        <f>+BZ55</f>
        <v>@ Data is provisional.</v>
      </c>
      <c r="DD55" s="121" t="str">
        <f>+CO55</f>
        <v>@ Data is provisional.</v>
      </c>
      <c r="DS55" s="121" t="str">
        <f>+DD55</f>
        <v>@ Data is provisional.</v>
      </c>
      <c r="EH55" s="121" t="str">
        <f>+DS55</f>
        <v>@ Data is provisional.</v>
      </c>
      <c r="EQ55" s="121" t="str">
        <f t="shared" si="761"/>
        <v>@ Data is provisional.</v>
      </c>
      <c r="EZ55" s="121" t="str">
        <f t="shared" si="762"/>
        <v>@ Data is provisional.</v>
      </c>
    </row>
    <row r="56" spans="1:164" x14ac:dyDescent="0.25"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/>
      <c r="O56"/>
      <c r="P56"/>
      <c r="Q56"/>
    </row>
    <row r="61" spans="1:164" ht="15.75" x14ac:dyDescent="0.25">
      <c r="AG61" s="139"/>
      <c r="AH61" s="139"/>
      <c r="AI61" s="139"/>
    </row>
    <row r="62" spans="1:164" ht="15.75" x14ac:dyDescent="0.25">
      <c r="AG62" s="139"/>
      <c r="AH62" s="139"/>
      <c r="AI62" s="139"/>
    </row>
    <row r="63" spans="1:164" ht="15.75" x14ac:dyDescent="0.25">
      <c r="AG63" s="139"/>
      <c r="AH63" s="139"/>
      <c r="AI63" s="139"/>
    </row>
  </sheetData>
  <mergeCells count="119">
    <mergeCell ref="C55:Q55"/>
    <mergeCell ref="FC5:FE5"/>
    <mergeCell ref="FF5:FH5"/>
    <mergeCell ref="EQ2:EY2"/>
    <mergeCell ref="EZ2:FH2"/>
    <mergeCell ref="EH3:EJ5"/>
    <mergeCell ref="EK3:EM4"/>
    <mergeCell ref="EN3:EP4"/>
    <mergeCell ref="EQ3:ES5"/>
    <mergeCell ref="ET3:EV4"/>
    <mergeCell ref="EW3:EY4"/>
    <mergeCell ref="EZ3:FB5"/>
    <mergeCell ref="FC3:FE4"/>
    <mergeCell ref="FF3:FH4"/>
    <mergeCell ref="EK5:EM5"/>
    <mergeCell ref="EN5:EP5"/>
    <mergeCell ref="ET5:EV5"/>
    <mergeCell ref="EW5:EY5"/>
    <mergeCell ref="DD3:DO3"/>
    <mergeCell ref="BH3:BJ5"/>
    <mergeCell ref="BK3:BV3"/>
    <mergeCell ref="BN5:BP5"/>
    <mergeCell ref="BQ5:BS5"/>
    <mergeCell ref="BT5:BV5"/>
    <mergeCell ref="BE5:BG5"/>
    <mergeCell ref="CO1:DC1"/>
    <mergeCell ref="DD1:DR1"/>
    <mergeCell ref="DS1:EG1"/>
    <mergeCell ref="DP3:DR5"/>
    <mergeCell ref="DS3:ED3"/>
    <mergeCell ref="EE3:EG5"/>
    <mergeCell ref="DA3:DC5"/>
    <mergeCell ref="EB5:ED5"/>
    <mergeCell ref="DV5:DX5"/>
    <mergeCell ref="DY5:EA5"/>
    <mergeCell ref="DS4:DU5"/>
    <mergeCell ref="DV4:ED4"/>
    <mergeCell ref="CO2:DC2"/>
    <mergeCell ref="DD2:DR2"/>
    <mergeCell ref="DS2:EG2"/>
    <mergeCell ref="CO3:CZ3"/>
    <mergeCell ref="CR4:CZ4"/>
    <mergeCell ref="CR5:CT5"/>
    <mergeCell ref="CU5:CW5"/>
    <mergeCell ref="CX5:CZ5"/>
    <mergeCell ref="CL3:CN5"/>
    <mergeCell ref="CI5:CK5"/>
    <mergeCell ref="AV4:AX5"/>
    <mergeCell ref="BZ1:CN1"/>
    <mergeCell ref="C3:N3"/>
    <mergeCell ref="O3:Q5"/>
    <mergeCell ref="R3:AC3"/>
    <mergeCell ref="AD3:AF5"/>
    <mergeCell ref="AG3:AR3"/>
    <mergeCell ref="C4:E5"/>
    <mergeCell ref="F4:N4"/>
    <mergeCell ref="R4:T5"/>
    <mergeCell ref="U4:AC4"/>
    <mergeCell ref="AG4:AI5"/>
    <mergeCell ref="AJ4:AR4"/>
    <mergeCell ref="C2:Q2"/>
    <mergeCell ref="R2:AF2"/>
    <mergeCell ref="AG2:AU2"/>
    <mergeCell ref="AV2:BJ2"/>
    <mergeCell ref="BK2:BY2"/>
    <mergeCell ref="BZ2:CN2"/>
    <mergeCell ref="R1:AF1"/>
    <mergeCell ref="CC5:CE5"/>
    <mergeCell ref="CF5:CH5"/>
    <mergeCell ref="AY5:BA5"/>
    <mergeCell ref="BB5:BD5"/>
    <mergeCell ref="C52:Q52"/>
    <mergeCell ref="C53:Q53"/>
    <mergeCell ref="C54:Q54"/>
    <mergeCell ref="EZ1:FH1"/>
    <mergeCell ref="EQ1:EY1"/>
    <mergeCell ref="EH1:EP1"/>
    <mergeCell ref="C1:Q1"/>
    <mergeCell ref="AG1:AU1"/>
    <mergeCell ref="AV1:BJ1"/>
    <mergeCell ref="BK1:BY1"/>
    <mergeCell ref="DD4:DF5"/>
    <mergeCell ref="DG4:DO4"/>
    <mergeCell ref="F5:H5"/>
    <mergeCell ref="I5:K5"/>
    <mergeCell ref="L5:N5"/>
    <mergeCell ref="U5:W5"/>
    <mergeCell ref="X5:Z5"/>
    <mergeCell ref="AA5:AC5"/>
    <mergeCell ref="AJ5:AL5"/>
    <mergeCell ref="AM5:AO5"/>
    <mergeCell ref="AP5:AR5"/>
    <mergeCell ref="AS3:AU5"/>
    <mergeCell ref="AV3:BG3"/>
    <mergeCell ref="BZ4:CB5"/>
    <mergeCell ref="A3:A6"/>
    <mergeCell ref="B3:B6"/>
    <mergeCell ref="DG5:DI5"/>
    <mergeCell ref="DJ5:DL5"/>
    <mergeCell ref="DM5:DO5"/>
    <mergeCell ref="A51:B51"/>
    <mergeCell ref="FL8:FZ8"/>
    <mergeCell ref="A11:B11"/>
    <mergeCell ref="C11:Q11"/>
    <mergeCell ref="R11:AF11"/>
    <mergeCell ref="AV11:BJ11"/>
    <mergeCell ref="BK11:BY11"/>
    <mergeCell ref="BZ11:CN11"/>
    <mergeCell ref="CO11:DC11"/>
    <mergeCell ref="DD11:DR11"/>
    <mergeCell ref="DS11:EG11"/>
    <mergeCell ref="A8:B8"/>
    <mergeCell ref="AY4:BG4"/>
    <mergeCell ref="BK4:BM5"/>
    <mergeCell ref="BN4:BV4"/>
    <mergeCell ref="CC4:CK4"/>
    <mergeCell ref="CO4:CQ5"/>
    <mergeCell ref="BW3:BY5"/>
    <mergeCell ref="BZ3:CK3"/>
  </mergeCells>
  <pageMargins left="0.23622047244094491" right="0.23622047244094491" top="0.41" bottom="0.28999999999999998" header="0.31496062992125984" footer="0.31496062992125984"/>
  <pageSetup paperSize="9" scale="65" orientation="landscape" r:id="rId1"/>
  <headerFooter>
    <oddFooter>Page &amp;P</oddFooter>
  </headerFooter>
  <rowBreaks count="1" manualBreakCount="1">
    <brk id="27" max="163" man="1"/>
  </rowBreaks>
  <colBreaks count="2" manualBreakCount="2">
    <brk id="146" max="54" man="1"/>
    <brk id="155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18"/>
  <sheetViews>
    <sheetView view="pageBreakPreview" topLeftCell="E1" zoomScale="60" workbookViewId="0">
      <selection activeCell="O4" sqref="O4:T4"/>
    </sheetView>
  </sheetViews>
  <sheetFormatPr defaultRowHeight="15" x14ac:dyDescent="0.25"/>
  <cols>
    <col min="1" max="1" width="7.7109375" customWidth="1"/>
    <col min="2" max="2" width="38.28515625" customWidth="1"/>
    <col min="3" max="20" width="11.5703125" customWidth="1"/>
    <col min="21" max="23" width="10.5703125" customWidth="1"/>
    <col min="24" max="24" width="9.85546875" customWidth="1"/>
    <col min="26" max="26" width="10" customWidth="1"/>
    <col min="30" max="30" width="9.85546875" customWidth="1"/>
    <col min="39" max="41" width="9.85546875" customWidth="1"/>
    <col min="44" max="44" width="9.140625" customWidth="1"/>
    <col min="46" max="46" width="9.140625" customWidth="1"/>
  </cols>
  <sheetData>
    <row r="1" spans="1:47" ht="31.5" customHeight="1" x14ac:dyDescent="0.25">
      <c r="C1" s="129" t="str">
        <f>Board!C1</f>
        <v>RESULTS OF SECONDARY EXAMINATION- 2017</v>
      </c>
      <c r="O1" s="129"/>
      <c r="U1" s="129" t="str">
        <f>C1</f>
        <v>RESULTS OF SECONDARY EXAMINATION- 2017</v>
      </c>
      <c r="V1" s="129"/>
      <c r="W1" s="129"/>
      <c r="X1" s="144"/>
      <c r="Y1" s="144"/>
      <c r="Z1" s="144"/>
      <c r="AA1" s="144"/>
      <c r="AB1" s="144"/>
      <c r="AC1" s="144"/>
      <c r="AD1" s="129"/>
      <c r="AE1" s="129"/>
      <c r="AF1" s="129"/>
      <c r="AG1" s="144"/>
      <c r="AH1" s="144"/>
      <c r="AI1" s="144"/>
      <c r="AJ1" s="144"/>
      <c r="AK1" s="144"/>
      <c r="AL1" s="144"/>
      <c r="AM1" s="129"/>
      <c r="AN1" s="129"/>
      <c r="AO1" s="129"/>
      <c r="AP1" s="144"/>
      <c r="AQ1" s="144"/>
      <c r="AR1" s="144"/>
      <c r="AS1" s="144"/>
      <c r="AT1" s="144"/>
      <c r="AU1" s="144"/>
    </row>
    <row r="2" spans="1:47" ht="31.5" customHeight="1" x14ac:dyDescent="0.25">
      <c r="A2" s="145"/>
      <c r="B2" s="145"/>
      <c r="C2" s="146" t="s">
        <v>320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7" t="s">
        <v>326</v>
      </c>
      <c r="V2" s="148"/>
      <c r="W2" s="148"/>
      <c r="X2" s="148"/>
      <c r="Y2" s="148"/>
      <c r="Z2" s="148"/>
      <c r="AA2" s="148"/>
      <c r="AB2" s="148"/>
      <c r="AC2" s="148"/>
      <c r="AD2" s="147"/>
      <c r="AE2" s="148"/>
      <c r="AF2" s="148"/>
      <c r="AG2" s="148"/>
      <c r="AH2" s="148"/>
      <c r="AI2" s="148"/>
      <c r="AJ2" s="148"/>
      <c r="AK2" s="148"/>
      <c r="AL2" s="148"/>
      <c r="AM2" s="147"/>
      <c r="AN2" s="148"/>
      <c r="AO2" s="148"/>
      <c r="AP2" s="148"/>
      <c r="AQ2" s="148"/>
      <c r="AR2" s="148"/>
      <c r="AS2" s="148"/>
      <c r="AT2" s="148"/>
      <c r="AU2" s="148"/>
    </row>
    <row r="3" spans="1:47" s="356" customFormat="1" ht="37.5" customHeight="1" x14ac:dyDescent="0.25">
      <c r="A3" s="518" t="s">
        <v>192</v>
      </c>
      <c r="B3" s="518" t="s">
        <v>42</v>
      </c>
      <c r="C3" s="521" t="s">
        <v>188</v>
      </c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3"/>
      <c r="U3" s="514" t="s">
        <v>219</v>
      </c>
      <c r="V3" s="514"/>
      <c r="W3" s="514"/>
      <c r="X3" s="514"/>
      <c r="Y3" s="514"/>
      <c r="Z3" s="514"/>
      <c r="AA3" s="514"/>
      <c r="AB3" s="514"/>
      <c r="AC3" s="514"/>
      <c r="AD3" s="514" t="s">
        <v>324</v>
      </c>
      <c r="AE3" s="514"/>
      <c r="AF3" s="514"/>
      <c r="AG3" s="514"/>
      <c r="AH3" s="514"/>
      <c r="AI3" s="514"/>
      <c r="AJ3" s="514"/>
      <c r="AK3" s="514"/>
      <c r="AL3" s="514"/>
      <c r="AM3" s="514" t="s">
        <v>325</v>
      </c>
      <c r="AN3" s="514"/>
      <c r="AO3" s="514"/>
      <c r="AP3" s="514"/>
      <c r="AQ3" s="514"/>
      <c r="AR3" s="514"/>
      <c r="AS3" s="514"/>
      <c r="AT3" s="514"/>
      <c r="AU3" s="514"/>
    </row>
    <row r="4" spans="1:47" s="356" customFormat="1" ht="37.5" customHeight="1" x14ac:dyDescent="0.25">
      <c r="A4" s="519"/>
      <c r="B4" s="519"/>
      <c r="C4" s="484" t="s">
        <v>219</v>
      </c>
      <c r="D4" s="484"/>
      <c r="E4" s="484"/>
      <c r="F4" s="484"/>
      <c r="G4" s="484"/>
      <c r="H4" s="484"/>
      <c r="I4" s="484" t="s">
        <v>220</v>
      </c>
      <c r="J4" s="484"/>
      <c r="K4" s="484"/>
      <c r="L4" s="484"/>
      <c r="M4" s="484"/>
      <c r="N4" s="484"/>
      <c r="O4" s="484" t="s">
        <v>221</v>
      </c>
      <c r="P4" s="484"/>
      <c r="Q4" s="484"/>
      <c r="R4" s="484"/>
      <c r="S4" s="484"/>
      <c r="T4" s="484"/>
      <c r="U4" s="514" t="s">
        <v>193</v>
      </c>
      <c r="V4" s="514"/>
      <c r="W4" s="514"/>
      <c r="X4" s="514" t="s">
        <v>193</v>
      </c>
      <c r="Y4" s="514"/>
      <c r="Z4" s="514"/>
      <c r="AA4" s="514" t="s">
        <v>193</v>
      </c>
      <c r="AB4" s="514"/>
      <c r="AC4" s="514"/>
      <c r="AD4" s="514" t="s">
        <v>193</v>
      </c>
      <c r="AE4" s="514"/>
      <c r="AF4" s="514"/>
      <c r="AG4" s="514" t="s">
        <v>194</v>
      </c>
      <c r="AH4" s="514"/>
      <c r="AI4" s="514"/>
      <c r="AJ4" s="514" t="s">
        <v>195</v>
      </c>
      <c r="AK4" s="514"/>
      <c r="AL4" s="514"/>
      <c r="AM4" s="514" t="s">
        <v>193</v>
      </c>
      <c r="AN4" s="514"/>
      <c r="AO4" s="514"/>
      <c r="AP4" s="514" t="s">
        <v>194</v>
      </c>
      <c r="AQ4" s="514"/>
      <c r="AR4" s="514"/>
      <c r="AS4" s="514" t="s">
        <v>195</v>
      </c>
      <c r="AT4" s="514"/>
      <c r="AU4" s="514"/>
    </row>
    <row r="5" spans="1:47" s="356" customFormat="1" ht="37.5" customHeight="1" x14ac:dyDescent="0.25">
      <c r="A5" s="519"/>
      <c r="B5" s="519"/>
      <c r="C5" s="484" t="s">
        <v>5</v>
      </c>
      <c r="D5" s="484"/>
      <c r="E5" s="484"/>
      <c r="F5" s="484" t="s">
        <v>6</v>
      </c>
      <c r="G5" s="484"/>
      <c r="H5" s="484"/>
      <c r="I5" s="484" t="s">
        <v>5</v>
      </c>
      <c r="J5" s="484"/>
      <c r="K5" s="484"/>
      <c r="L5" s="484" t="s">
        <v>6</v>
      </c>
      <c r="M5" s="484"/>
      <c r="N5" s="484"/>
      <c r="O5" s="484" t="s">
        <v>5</v>
      </c>
      <c r="P5" s="484"/>
      <c r="Q5" s="484"/>
      <c r="R5" s="484" t="s">
        <v>6</v>
      </c>
      <c r="S5" s="484"/>
      <c r="T5" s="484"/>
      <c r="U5" s="514"/>
      <c r="V5" s="514"/>
      <c r="W5" s="514"/>
      <c r="X5" s="514" t="s">
        <v>196</v>
      </c>
      <c r="Y5" s="514"/>
      <c r="Z5" s="514"/>
      <c r="AA5" s="514" t="s">
        <v>196</v>
      </c>
      <c r="AB5" s="514"/>
      <c r="AC5" s="514"/>
      <c r="AD5" s="514"/>
      <c r="AE5" s="514"/>
      <c r="AF5" s="514"/>
      <c r="AG5" s="514" t="s">
        <v>196</v>
      </c>
      <c r="AH5" s="514"/>
      <c r="AI5" s="514"/>
      <c r="AJ5" s="514" t="s">
        <v>196</v>
      </c>
      <c r="AK5" s="514"/>
      <c r="AL5" s="514"/>
      <c r="AM5" s="514"/>
      <c r="AN5" s="514"/>
      <c r="AO5" s="514"/>
      <c r="AP5" s="514" t="s">
        <v>196</v>
      </c>
      <c r="AQ5" s="514"/>
      <c r="AR5" s="514"/>
      <c r="AS5" s="514" t="s">
        <v>196</v>
      </c>
      <c r="AT5" s="514"/>
      <c r="AU5" s="514"/>
    </row>
    <row r="6" spans="1:47" s="356" customFormat="1" ht="37.5" customHeight="1" x14ac:dyDescent="0.25">
      <c r="A6" s="520"/>
      <c r="B6" s="520"/>
      <c r="C6" s="343" t="s">
        <v>43</v>
      </c>
      <c r="D6" s="343" t="s">
        <v>44</v>
      </c>
      <c r="E6" s="343" t="s">
        <v>3</v>
      </c>
      <c r="F6" s="343" t="s">
        <v>43</v>
      </c>
      <c r="G6" s="343" t="s">
        <v>44</v>
      </c>
      <c r="H6" s="343" t="s">
        <v>3</v>
      </c>
      <c r="I6" s="343" t="s">
        <v>43</v>
      </c>
      <c r="J6" s="343" t="s">
        <v>44</v>
      </c>
      <c r="K6" s="343" t="s">
        <v>3</v>
      </c>
      <c r="L6" s="343" t="s">
        <v>43</v>
      </c>
      <c r="M6" s="343" t="s">
        <v>44</v>
      </c>
      <c r="N6" s="343" t="s">
        <v>3</v>
      </c>
      <c r="O6" s="343" t="s">
        <v>43</v>
      </c>
      <c r="P6" s="343" t="s">
        <v>44</v>
      </c>
      <c r="Q6" s="343" t="s">
        <v>3</v>
      </c>
      <c r="R6" s="343" t="s">
        <v>43</v>
      </c>
      <c r="S6" s="343" t="s">
        <v>44</v>
      </c>
      <c r="T6" s="343" t="s">
        <v>3</v>
      </c>
      <c r="U6" s="343" t="s">
        <v>43</v>
      </c>
      <c r="V6" s="343" t="s">
        <v>44</v>
      </c>
      <c r="W6" s="343" t="s">
        <v>3</v>
      </c>
      <c r="X6" s="343" t="s">
        <v>43</v>
      </c>
      <c r="Y6" s="343" t="s">
        <v>44</v>
      </c>
      <c r="Z6" s="343" t="s">
        <v>3</v>
      </c>
      <c r="AA6" s="343" t="s">
        <v>43</v>
      </c>
      <c r="AB6" s="343" t="s">
        <v>44</v>
      </c>
      <c r="AC6" s="343" t="s">
        <v>3</v>
      </c>
      <c r="AD6" s="343" t="s">
        <v>43</v>
      </c>
      <c r="AE6" s="343" t="s">
        <v>44</v>
      </c>
      <c r="AF6" s="343" t="s">
        <v>3</v>
      </c>
      <c r="AG6" s="343" t="s">
        <v>43</v>
      </c>
      <c r="AH6" s="343" t="s">
        <v>44</v>
      </c>
      <c r="AI6" s="343" t="s">
        <v>3</v>
      </c>
      <c r="AJ6" s="343" t="s">
        <v>43</v>
      </c>
      <c r="AK6" s="343" t="s">
        <v>44</v>
      </c>
      <c r="AL6" s="343" t="s">
        <v>3</v>
      </c>
      <c r="AM6" s="343" t="s">
        <v>43</v>
      </c>
      <c r="AN6" s="343" t="s">
        <v>44</v>
      </c>
      <c r="AO6" s="343" t="s">
        <v>3</v>
      </c>
      <c r="AP6" s="343" t="s">
        <v>43</v>
      </c>
      <c r="AQ6" s="343" t="s">
        <v>44</v>
      </c>
      <c r="AR6" s="343" t="s">
        <v>3</v>
      </c>
      <c r="AS6" s="343" t="s">
        <v>43</v>
      </c>
      <c r="AT6" s="343" t="s">
        <v>44</v>
      </c>
      <c r="AU6" s="343" t="s">
        <v>3</v>
      </c>
    </row>
    <row r="7" spans="1:47" s="356" customFormat="1" ht="37.5" customHeight="1" x14ac:dyDescent="0.25">
      <c r="A7" s="149">
        <v>1</v>
      </c>
      <c r="B7" s="150">
        <v>2</v>
      </c>
      <c r="C7" s="357">
        <v>3</v>
      </c>
      <c r="D7" s="357">
        <v>4</v>
      </c>
      <c r="E7" s="357">
        <v>5</v>
      </c>
      <c r="F7" s="357">
        <v>6</v>
      </c>
      <c r="G7" s="357">
        <v>7</v>
      </c>
      <c r="H7" s="357">
        <v>8</v>
      </c>
      <c r="I7" s="357">
        <v>9</v>
      </c>
      <c r="J7" s="357">
        <v>10</v>
      </c>
      <c r="K7" s="357">
        <v>11</v>
      </c>
      <c r="L7" s="357">
        <v>12</v>
      </c>
      <c r="M7" s="357">
        <v>13</v>
      </c>
      <c r="N7" s="357">
        <v>14</v>
      </c>
      <c r="O7" s="357">
        <v>15</v>
      </c>
      <c r="P7" s="357">
        <v>16</v>
      </c>
      <c r="Q7" s="357">
        <v>17</v>
      </c>
      <c r="R7" s="357">
        <v>18</v>
      </c>
      <c r="S7" s="357">
        <v>19</v>
      </c>
      <c r="T7" s="357">
        <v>20</v>
      </c>
      <c r="U7" s="358">
        <v>3</v>
      </c>
      <c r="V7" s="358">
        <v>4</v>
      </c>
      <c r="W7" s="358">
        <v>5</v>
      </c>
      <c r="X7" s="358">
        <v>6</v>
      </c>
      <c r="Y7" s="358">
        <v>7</v>
      </c>
      <c r="Z7" s="358">
        <v>8</v>
      </c>
      <c r="AA7" s="358">
        <v>12</v>
      </c>
      <c r="AB7" s="358">
        <v>13</v>
      </c>
      <c r="AC7" s="358">
        <v>14</v>
      </c>
      <c r="AD7" s="358">
        <v>3</v>
      </c>
      <c r="AE7" s="358">
        <v>4</v>
      </c>
      <c r="AF7" s="358">
        <v>5</v>
      </c>
      <c r="AG7" s="358">
        <v>6</v>
      </c>
      <c r="AH7" s="358">
        <v>7</v>
      </c>
      <c r="AI7" s="358">
        <v>8</v>
      </c>
      <c r="AJ7" s="358">
        <v>12</v>
      </c>
      <c r="AK7" s="358">
        <v>13</v>
      </c>
      <c r="AL7" s="358">
        <v>14</v>
      </c>
      <c r="AM7" s="358">
        <v>3</v>
      </c>
      <c r="AN7" s="358">
        <v>4</v>
      </c>
      <c r="AO7" s="358">
        <v>5</v>
      </c>
      <c r="AP7" s="358">
        <v>6</v>
      </c>
      <c r="AQ7" s="358">
        <v>7</v>
      </c>
      <c r="AR7" s="358">
        <v>8</v>
      </c>
      <c r="AS7" s="358">
        <v>12</v>
      </c>
      <c r="AT7" s="358">
        <v>13</v>
      </c>
      <c r="AU7" s="358">
        <v>14</v>
      </c>
    </row>
    <row r="8" spans="1:47" s="362" customFormat="1" ht="46.5" customHeight="1" x14ac:dyDescent="0.25">
      <c r="A8" s="359">
        <v>1</v>
      </c>
      <c r="B8" s="372" t="s">
        <v>322</v>
      </c>
      <c r="C8" s="360"/>
      <c r="D8" s="360"/>
      <c r="E8" s="360">
        <f t="shared" ref="E8:E14" si="0">C8+D8</f>
        <v>0</v>
      </c>
      <c r="F8" s="360"/>
      <c r="G8" s="360"/>
      <c r="H8" s="360">
        <f t="shared" ref="H8:H14" si="1">F8+G8</f>
        <v>0</v>
      </c>
      <c r="I8" s="360"/>
      <c r="J8" s="360"/>
      <c r="K8" s="360">
        <f t="shared" ref="K8:K14" si="2">I8+J8</f>
        <v>0</v>
      </c>
      <c r="L8" s="360">
        <v>4990</v>
      </c>
      <c r="M8" s="360">
        <v>2539</v>
      </c>
      <c r="N8" s="360">
        <f t="shared" ref="N8:N14" si="3">L8+M8</f>
        <v>7529</v>
      </c>
      <c r="O8" s="360">
        <v>3038</v>
      </c>
      <c r="P8" s="360">
        <v>1586</v>
      </c>
      <c r="Q8" s="360">
        <f t="shared" ref="Q8:Q14" si="4">O8+P8</f>
        <v>4624</v>
      </c>
      <c r="R8" s="360">
        <v>1615</v>
      </c>
      <c r="S8" s="360">
        <v>835</v>
      </c>
      <c r="T8" s="360">
        <f t="shared" ref="T8:T14" si="5">R8+S8</f>
        <v>2450</v>
      </c>
      <c r="U8" s="360">
        <f>F8</f>
        <v>0</v>
      </c>
      <c r="V8" s="360">
        <f t="shared" ref="V8:W8" si="6">G8</f>
        <v>0</v>
      </c>
      <c r="W8" s="360">
        <f t="shared" si="6"/>
        <v>0</v>
      </c>
      <c r="X8" s="360">
        <v>7791</v>
      </c>
      <c r="Y8" s="360">
        <v>4541</v>
      </c>
      <c r="Z8" s="360">
        <f t="shared" ref="Z8:Z14" si="7">X8+Y8</f>
        <v>12332</v>
      </c>
      <c r="AA8" s="361" t="e">
        <f>X8/U8%</f>
        <v>#DIV/0!</v>
      </c>
      <c r="AB8" s="361" t="e">
        <f t="shared" ref="AB8:AC12" si="8">Y8/V8%</f>
        <v>#DIV/0!</v>
      </c>
      <c r="AC8" s="361" t="e">
        <f>Z8/W8%</f>
        <v>#DIV/0!</v>
      </c>
      <c r="AD8" s="360">
        <f t="shared" ref="AD8:AF14" si="9">L8</f>
        <v>4990</v>
      </c>
      <c r="AE8" s="360">
        <f t="shared" si="9"/>
        <v>2539</v>
      </c>
      <c r="AF8" s="360">
        <f t="shared" si="9"/>
        <v>7529</v>
      </c>
      <c r="AG8" s="360">
        <v>1524</v>
      </c>
      <c r="AH8" s="360">
        <v>998</v>
      </c>
      <c r="AI8" s="360">
        <f t="shared" ref="AI8:AI14" si="10">AG8+AH8</f>
        <v>2522</v>
      </c>
      <c r="AJ8" s="361">
        <f t="shared" ref="AJ8:AJ13" si="11">AG8/AD8%</f>
        <v>30.541082164328657</v>
      </c>
      <c r="AK8" s="361">
        <f t="shared" ref="AK8:AL13" si="12">AH8/AE8%</f>
        <v>39.306813706183533</v>
      </c>
      <c r="AL8" s="361">
        <f t="shared" si="12"/>
        <v>33.49714437508301</v>
      </c>
      <c r="AM8" s="360">
        <f t="shared" ref="AM8:AO14" si="13">R8</f>
        <v>1615</v>
      </c>
      <c r="AN8" s="360">
        <f t="shared" si="13"/>
        <v>835</v>
      </c>
      <c r="AO8" s="360">
        <f t="shared" si="13"/>
        <v>2450</v>
      </c>
      <c r="AP8" s="360">
        <v>509</v>
      </c>
      <c r="AQ8" s="360">
        <v>331</v>
      </c>
      <c r="AR8" s="360">
        <f t="shared" ref="AR8:AR14" si="14">AP8+AQ8</f>
        <v>840</v>
      </c>
      <c r="AS8" s="361">
        <f t="shared" ref="AS8:AU13" si="15">AP8/AM8%</f>
        <v>31.517027863777091</v>
      </c>
      <c r="AT8" s="361">
        <f t="shared" si="15"/>
        <v>39.640718562874255</v>
      </c>
      <c r="AU8" s="361">
        <f t="shared" si="15"/>
        <v>34.285714285714285</v>
      </c>
    </row>
    <row r="9" spans="1:47" s="362" customFormat="1" ht="46.5" customHeight="1" x14ac:dyDescent="0.25">
      <c r="A9" s="359">
        <v>2</v>
      </c>
      <c r="B9" s="372" t="s">
        <v>222</v>
      </c>
      <c r="C9" s="360">
        <v>37664</v>
      </c>
      <c r="D9" s="360">
        <v>15433</v>
      </c>
      <c r="E9" s="360">
        <f t="shared" si="0"/>
        <v>53097</v>
      </c>
      <c r="F9" s="360">
        <v>7878</v>
      </c>
      <c r="G9" s="360">
        <v>4068</v>
      </c>
      <c r="H9" s="360">
        <f t="shared" si="1"/>
        <v>11946</v>
      </c>
      <c r="I9" s="360">
        <v>7056</v>
      </c>
      <c r="J9" s="360">
        <v>3592</v>
      </c>
      <c r="K9" s="360">
        <f t="shared" si="2"/>
        <v>10648</v>
      </c>
      <c r="L9" s="360">
        <v>1597</v>
      </c>
      <c r="M9" s="360">
        <v>984</v>
      </c>
      <c r="N9" s="360">
        <f t="shared" si="3"/>
        <v>2581</v>
      </c>
      <c r="O9" s="360">
        <v>4158</v>
      </c>
      <c r="P9" s="360">
        <v>1650</v>
      </c>
      <c r="Q9" s="360">
        <f t="shared" si="4"/>
        <v>5808</v>
      </c>
      <c r="R9" s="360">
        <v>939</v>
      </c>
      <c r="S9" s="360">
        <v>324</v>
      </c>
      <c r="T9" s="360">
        <f t="shared" si="5"/>
        <v>1263</v>
      </c>
      <c r="U9" s="360">
        <f t="shared" ref="U9:U15" si="16">F9</f>
        <v>7878</v>
      </c>
      <c r="V9" s="360">
        <f t="shared" ref="V9:V15" si="17">G9</f>
        <v>4068</v>
      </c>
      <c r="W9" s="360">
        <f t="shared" ref="W9:W15" si="18">H9</f>
        <v>11946</v>
      </c>
      <c r="X9" s="360">
        <v>477</v>
      </c>
      <c r="Y9" s="360">
        <v>453</v>
      </c>
      <c r="Z9" s="360">
        <f t="shared" si="7"/>
        <v>930</v>
      </c>
      <c r="AA9" s="361">
        <f t="shared" ref="AA9:AA11" si="19">X9/U9%</f>
        <v>6.0548362528560551</v>
      </c>
      <c r="AB9" s="361">
        <f t="shared" si="8"/>
        <v>11.135693215339233</v>
      </c>
      <c r="AC9" s="361">
        <f t="shared" si="8"/>
        <v>7.7850326469111</v>
      </c>
      <c r="AD9" s="360">
        <f t="shared" si="9"/>
        <v>1597</v>
      </c>
      <c r="AE9" s="360">
        <f t="shared" si="9"/>
        <v>984</v>
      </c>
      <c r="AF9" s="360">
        <f t="shared" si="9"/>
        <v>2581</v>
      </c>
      <c r="AG9" s="360">
        <v>76</v>
      </c>
      <c r="AH9" s="360">
        <v>81</v>
      </c>
      <c r="AI9" s="360">
        <f t="shared" si="10"/>
        <v>157</v>
      </c>
      <c r="AJ9" s="361">
        <f t="shared" si="11"/>
        <v>4.7589229805886033</v>
      </c>
      <c r="AK9" s="361">
        <f t="shared" ref="AK9:AL11" si="20">AH9/AE9%</f>
        <v>8.2317073170731714</v>
      </c>
      <c r="AL9" s="361">
        <f t="shared" si="20"/>
        <v>6.0829135993800856</v>
      </c>
      <c r="AM9" s="360">
        <f t="shared" si="13"/>
        <v>939</v>
      </c>
      <c r="AN9" s="360">
        <f t="shared" si="13"/>
        <v>324</v>
      </c>
      <c r="AO9" s="360">
        <f t="shared" si="13"/>
        <v>1263</v>
      </c>
      <c r="AP9" s="360">
        <v>50</v>
      </c>
      <c r="AQ9" s="360">
        <v>31</v>
      </c>
      <c r="AR9" s="360">
        <f t="shared" si="14"/>
        <v>81</v>
      </c>
      <c r="AS9" s="361">
        <f t="shared" si="15"/>
        <v>5.324813631522896</v>
      </c>
      <c r="AT9" s="361">
        <f t="shared" ref="AT9:AU11" si="21">AQ9/AN9%</f>
        <v>9.5679012345679002</v>
      </c>
      <c r="AU9" s="361">
        <f t="shared" si="21"/>
        <v>6.4133016627078385</v>
      </c>
    </row>
    <row r="10" spans="1:47" s="362" customFormat="1" ht="46.5" customHeight="1" x14ac:dyDescent="0.25">
      <c r="A10" s="359">
        <v>3</v>
      </c>
      <c r="B10" s="372" t="s">
        <v>223</v>
      </c>
      <c r="C10" s="360"/>
      <c r="D10" s="360"/>
      <c r="E10" s="360">
        <f t="shared" si="0"/>
        <v>0</v>
      </c>
      <c r="F10" s="360"/>
      <c r="G10" s="360"/>
      <c r="H10" s="360">
        <f t="shared" si="1"/>
        <v>0</v>
      </c>
      <c r="I10" s="360"/>
      <c r="J10" s="360"/>
      <c r="K10" s="360">
        <f t="shared" si="2"/>
        <v>0</v>
      </c>
      <c r="L10" s="360">
        <v>3747</v>
      </c>
      <c r="M10" s="360">
        <v>3654</v>
      </c>
      <c r="N10" s="360">
        <f t="shared" si="3"/>
        <v>7401</v>
      </c>
      <c r="O10" s="360">
        <v>11282</v>
      </c>
      <c r="P10" s="360">
        <v>11586</v>
      </c>
      <c r="Q10" s="360">
        <f t="shared" si="4"/>
        <v>22868</v>
      </c>
      <c r="R10" s="360">
        <v>6729</v>
      </c>
      <c r="S10" s="360">
        <v>7141</v>
      </c>
      <c r="T10" s="360">
        <f t="shared" si="5"/>
        <v>13870</v>
      </c>
      <c r="U10" s="360">
        <f t="shared" si="16"/>
        <v>0</v>
      </c>
      <c r="V10" s="360">
        <f t="shared" si="17"/>
        <v>0</v>
      </c>
      <c r="W10" s="360">
        <f t="shared" si="18"/>
        <v>0</v>
      </c>
      <c r="X10" s="360">
        <v>1050</v>
      </c>
      <c r="Y10" s="360">
        <v>935</v>
      </c>
      <c r="Z10" s="360">
        <f t="shared" si="7"/>
        <v>1985</v>
      </c>
      <c r="AA10" s="361" t="e">
        <f t="shared" si="19"/>
        <v>#DIV/0!</v>
      </c>
      <c r="AB10" s="361" t="e">
        <f t="shared" si="8"/>
        <v>#DIV/0!</v>
      </c>
      <c r="AC10" s="361" t="e">
        <f t="shared" si="8"/>
        <v>#DIV/0!</v>
      </c>
      <c r="AD10" s="360">
        <f t="shared" si="9"/>
        <v>3747</v>
      </c>
      <c r="AE10" s="360">
        <f t="shared" si="9"/>
        <v>3654</v>
      </c>
      <c r="AF10" s="360">
        <f t="shared" si="9"/>
        <v>7401</v>
      </c>
      <c r="AG10" s="360">
        <v>127</v>
      </c>
      <c r="AH10" s="360">
        <v>127</v>
      </c>
      <c r="AI10" s="360">
        <f t="shared" si="10"/>
        <v>254</v>
      </c>
      <c r="AJ10" s="361">
        <f t="shared" si="11"/>
        <v>3.3893781692020286</v>
      </c>
      <c r="AK10" s="361">
        <f t="shared" si="20"/>
        <v>3.4756431308155449</v>
      </c>
      <c r="AL10" s="361">
        <f t="shared" si="20"/>
        <v>3.4319686528847453</v>
      </c>
      <c r="AM10" s="360">
        <f t="shared" si="13"/>
        <v>6729</v>
      </c>
      <c r="AN10" s="360">
        <f t="shared" si="13"/>
        <v>7141</v>
      </c>
      <c r="AO10" s="360">
        <f t="shared" si="13"/>
        <v>13870</v>
      </c>
      <c r="AP10" s="360">
        <v>406</v>
      </c>
      <c r="AQ10" s="360">
        <v>396</v>
      </c>
      <c r="AR10" s="360">
        <f t="shared" si="14"/>
        <v>802</v>
      </c>
      <c r="AS10" s="361">
        <f t="shared" si="15"/>
        <v>6.0335859711695639</v>
      </c>
      <c r="AT10" s="361">
        <f t="shared" si="21"/>
        <v>5.5454418148718672</v>
      </c>
      <c r="AU10" s="361">
        <f t="shared" si="21"/>
        <v>5.7822638788752707</v>
      </c>
    </row>
    <row r="11" spans="1:47" s="362" customFormat="1" ht="46.5" customHeight="1" x14ac:dyDescent="0.25">
      <c r="A11" s="359">
        <v>4</v>
      </c>
      <c r="B11" s="372" t="s">
        <v>224</v>
      </c>
      <c r="C11" s="360"/>
      <c r="D11" s="360"/>
      <c r="E11" s="360">
        <f t="shared" si="0"/>
        <v>0</v>
      </c>
      <c r="F11" s="360"/>
      <c r="G11" s="360"/>
      <c r="H11" s="360">
        <f t="shared" si="1"/>
        <v>0</v>
      </c>
      <c r="I11" s="360"/>
      <c r="J11" s="360"/>
      <c r="K11" s="360">
        <f t="shared" si="2"/>
        <v>0</v>
      </c>
      <c r="L11" s="360">
        <v>1863</v>
      </c>
      <c r="M11" s="360">
        <v>2308</v>
      </c>
      <c r="N11" s="360">
        <f t="shared" si="3"/>
        <v>4171</v>
      </c>
      <c r="O11" s="360">
        <v>4046</v>
      </c>
      <c r="P11" s="360">
        <v>3932</v>
      </c>
      <c r="Q11" s="360">
        <f t="shared" si="4"/>
        <v>7978</v>
      </c>
      <c r="R11" s="360">
        <v>1083</v>
      </c>
      <c r="S11" s="360">
        <v>1214</v>
      </c>
      <c r="T11" s="360">
        <f t="shared" si="5"/>
        <v>2297</v>
      </c>
      <c r="U11" s="360">
        <f t="shared" si="16"/>
        <v>0</v>
      </c>
      <c r="V11" s="360">
        <f t="shared" si="17"/>
        <v>0</v>
      </c>
      <c r="W11" s="360">
        <f t="shared" si="18"/>
        <v>0</v>
      </c>
      <c r="X11" s="360">
        <v>979</v>
      </c>
      <c r="Y11" s="360">
        <v>1182</v>
      </c>
      <c r="Z11" s="360">
        <f t="shared" si="7"/>
        <v>2161</v>
      </c>
      <c r="AA11" s="361" t="e">
        <f t="shared" si="19"/>
        <v>#DIV/0!</v>
      </c>
      <c r="AB11" s="361" t="e">
        <f t="shared" si="8"/>
        <v>#DIV/0!</v>
      </c>
      <c r="AC11" s="361" t="e">
        <f t="shared" si="8"/>
        <v>#DIV/0!</v>
      </c>
      <c r="AD11" s="360">
        <f t="shared" si="9"/>
        <v>1863</v>
      </c>
      <c r="AE11" s="360">
        <f t="shared" si="9"/>
        <v>2308</v>
      </c>
      <c r="AF11" s="360">
        <f t="shared" si="9"/>
        <v>4171</v>
      </c>
      <c r="AG11" s="360">
        <v>127</v>
      </c>
      <c r="AH11" s="360">
        <v>195</v>
      </c>
      <c r="AI11" s="360">
        <f t="shared" si="10"/>
        <v>322</v>
      </c>
      <c r="AJ11" s="361">
        <f t="shared" si="11"/>
        <v>6.8169618894256576</v>
      </c>
      <c r="AK11" s="361">
        <f t="shared" si="20"/>
        <v>8.4488734835355288</v>
      </c>
      <c r="AL11" s="361">
        <f t="shared" si="20"/>
        <v>7.7199712299208825</v>
      </c>
      <c r="AM11" s="360">
        <f t="shared" si="13"/>
        <v>1083</v>
      </c>
      <c r="AN11" s="360">
        <f t="shared" si="13"/>
        <v>1214</v>
      </c>
      <c r="AO11" s="360">
        <f t="shared" si="13"/>
        <v>2297</v>
      </c>
      <c r="AP11" s="360">
        <v>78</v>
      </c>
      <c r="AQ11" s="360">
        <v>71</v>
      </c>
      <c r="AR11" s="360">
        <f t="shared" si="14"/>
        <v>149</v>
      </c>
      <c r="AS11" s="361">
        <f t="shared" ref="AS11" si="22">AP11/AM11%</f>
        <v>7.2022160664819941</v>
      </c>
      <c r="AT11" s="361">
        <f t="shared" si="21"/>
        <v>5.8484349258649093</v>
      </c>
      <c r="AU11" s="361">
        <f t="shared" si="21"/>
        <v>6.4867218110579019</v>
      </c>
    </row>
    <row r="12" spans="1:47" s="362" customFormat="1" ht="46.5" customHeight="1" x14ac:dyDescent="0.25">
      <c r="A12" s="359">
        <v>5</v>
      </c>
      <c r="B12" s="372" t="s">
        <v>225</v>
      </c>
      <c r="C12" s="360"/>
      <c r="D12" s="360"/>
      <c r="E12" s="360">
        <f t="shared" si="0"/>
        <v>0</v>
      </c>
      <c r="F12" s="360"/>
      <c r="G12" s="360"/>
      <c r="H12" s="360">
        <f t="shared" si="1"/>
        <v>0</v>
      </c>
      <c r="I12" s="360"/>
      <c r="J12" s="360"/>
      <c r="K12" s="360">
        <f t="shared" si="2"/>
        <v>0</v>
      </c>
      <c r="L12" s="360">
        <v>2775</v>
      </c>
      <c r="M12" s="360">
        <v>2414</v>
      </c>
      <c r="N12" s="360">
        <f t="shared" si="3"/>
        <v>5189</v>
      </c>
      <c r="O12" s="360">
        <v>7944</v>
      </c>
      <c r="P12" s="360">
        <v>7059</v>
      </c>
      <c r="Q12" s="360">
        <f t="shared" si="4"/>
        <v>15003</v>
      </c>
      <c r="R12" s="360">
        <v>2280</v>
      </c>
      <c r="S12" s="360">
        <v>2502</v>
      </c>
      <c r="T12" s="360">
        <f t="shared" si="5"/>
        <v>4782</v>
      </c>
      <c r="U12" s="360">
        <f t="shared" si="16"/>
        <v>0</v>
      </c>
      <c r="V12" s="360">
        <f t="shared" si="17"/>
        <v>0</v>
      </c>
      <c r="W12" s="360">
        <f t="shared" si="18"/>
        <v>0</v>
      </c>
      <c r="X12" s="360">
        <v>261</v>
      </c>
      <c r="Y12" s="360">
        <v>113</v>
      </c>
      <c r="Z12" s="360">
        <f t="shared" si="7"/>
        <v>374</v>
      </c>
      <c r="AA12" s="361" t="e">
        <f>X12/U12%</f>
        <v>#DIV/0!</v>
      </c>
      <c r="AB12" s="361" t="e">
        <f t="shared" si="8"/>
        <v>#DIV/0!</v>
      </c>
      <c r="AC12" s="361" t="e">
        <f>Z12/W12%</f>
        <v>#DIV/0!</v>
      </c>
      <c r="AD12" s="360">
        <f t="shared" si="9"/>
        <v>2775</v>
      </c>
      <c r="AE12" s="360">
        <f t="shared" si="9"/>
        <v>2414</v>
      </c>
      <c r="AF12" s="360">
        <f t="shared" si="9"/>
        <v>5189</v>
      </c>
      <c r="AG12" s="360">
        <v>13</v>
      </c>
      <c r="AH12" s="360">
        <v>8</v>
      </c>
      <c r="AI12" s="360">
        <f t="shared" si="10"/>
        <v>21</v>
      </c>
      <c r="AJ12" s="361">
        <f t="shared" si="11"/>
        <v>0.46846846846846846</v>
      </c>
      <c r="AK12" s="361">
        <f t="shared" si="12"/>
        <v>0.33140016570008285</v>
      </c>
      <c r="AL12" s="361">
        <f t="shared" si="12"/>
        <v>0.40470225476970512</v>
      </c>
      <c r="AM12" s="360">
        <f t="shared" si="13"/>
        <v>2280</v>
      </c>
      <c r="AN12" s="360">
        <f t="shared" si="13"/>
        <v>2502</v>
      </c>
      <c r="AO12" s="360">
        <f t="shared" si="13"/>
        <v>4782</v>
      </c>
      <c r="AP12" s="360">
        <v>8</v>
      </c>
      <c r="AQ12" s="360">
        <v>12</v>
      </c>
      <c r="AR12" s="360">
        <f t="shared" si="14"/>
        <v>20</v>
      </c>
      <c r="AS12" s="361">
        <f t="shared" si="15"/>
        <v>0.35087719298245612</v>
      </c>
      <c r="AT12" s="361">
        <f t="shared" si="15"/>
        <v>0.47961630695443647</v>
      </c>
      <c r="AU12" s="361">
        <f t="shared" si="15"/>
        <v>0.41823504809703055</v>
      </c>
    </row>
    <row r="13" spans="1:47" s="362" customFormat="1" ht="46.5" customHeight="1" x14ac:dyDescent="0.25">
      <c r="A13" s="359">
        <v>6</v>
      </c>
      <c r="B13" s="372" t="s">
        <v>226</v>
      </c>
      <c r="C13" s="360"/>
      <c r="D13" s="360"/>
      <c r="E13" s="360">
        <f t="shared" si="0"/>
        <v>0</v>
      </c>
      <c r="F13" s="360"/>
      <c r="G13" s="360"/>
      <c r="H13" s="360">
        <f t="shared" si="1"/>
        <v>0</v>
      </c>
      <c r="I13" s="360"/>
      <c r="J13" s="360"/>
      <c r="K13" s="360">
        <f t="shared" si="2"/>
        <v>0</v>
      </c>
      <c r="L13" s="360">
        <v>5118</v>
      </c>
      <c r="M13" s="360">
        <v>1992</v>
      </c>
      <c r="N13" s="360">
        <f t="shared" si="3"/>
        <v>7110</v>
      </c>
      <c r="O13" s="360">
        <v>11360</v>
      </c>
      <c r="P13" s="360">
        <v>9418</v>
      </c>
      <c r="Q13" s="360">
        <f t="shared" si="4"/>
        <v>20778</v>
      </c>
      <c r="R13" s="360">
        <v>3919</v>
      </c>
      <c r="S13" s="360">
        <v>3432</v>
      </c>
      <c r="T13" s="360">
        <f t="shared" si="5"/>
        <v>7351</v>
      </c>
      <c r="U13" s="360">
        <f t="shared" si="16"/>
        <v>0</v>
      </c>
      <c r="V13" s="360">
        <f t="shared" si="17"/>
        <v>0</v>
      </c>
      <c r="W13" s="360">
        <f t="shared" si="18"/>
        <v>0</v>
      </c>
      <c r="X13" s="360">
        <v>19111</v>
      </c>
      <c r="Y13" s="360">
        <v>8533</v>
      </c>
      <c r="Z13" s="360">
        <f t="shared" si="7"/>
        <v>27644</v>
      </c>
      <c r="AA13" s="361" t="e">
        <f t="shared" ref="AA13:AC13" si="23">X13/U13%</f>
        <v>#DIV/0!</v>
      </c>
      <c r="AB13" s="361" t="e">
        <f t="shared" si="23"/>
        <v>#DIV/0!</v>
      </c>
      <c r="AC13" s="361" t="e">
        <f t="shared" si="23"/>
        <v>#DIV/0!</v>
      </c>
      <c r="AD13" s="360">
        <f t="shared" si="9"/>
        <v>5118</v>
      </c>
      <c r="AE13" s="360">
        <f t="shared" si="9"/>
        <v>1992</v>
      </c>
      <c r="AF13" s="360">
        <f t="shared" si="9"/>
        <v>7110</v>
      </c>
      <c r="AG13" s="360">
        <v>1338</v>
      </c>
      <c r="AH13" s="360">
        <v>507</v>
      </c>
      <c r="AI13" s="360">
        <f t="shared" si="10"/>
        <v>1845</v>
      </c>
      <c r="AJ13" s="361">
        <f t="shared" si="11"/>
        <v>26.143024618991795</v>
      </c>
      <c r="AK13" s="361">
        <f t="shared" si="12"/>
        <v>25.451807228915662</v>
      </c>
      <c r="AL13" s="361">
        <f t="shared" si="12"/>
        <v>25.949367088607598</v>
      </c>
      <c r="AM13" s="360">
        <f t="shared" si="13"/>
        <v>3919</v>
      </c>
      <c r="AN13" s="360">
        <f t="shared" si="13"/>
        <v>3432</v>
      </c>
      <c r="AO13" s="360">
        <f t="shared" si="13"/>
        <v>7351</v>
      </c>
      <c r="AP13" s="360">
        <v>755</v>
      </c>
      <c r="AQ13" s="360">
        <v>625</v>
      </c>
      <c r="AR13" s="360">
        <f t="shared" si="14"/>
        <v>1380</v>
      </c>
      <c r="AS13" s="361">
        <f t="shared" si="15"/>
        <v>19.265118652717533</v>
      </c>
      <c r="AT13" s="361">
        <f t="shared" si="15"/>
        <v>18.210955710955712</v>
      </c>
      <c r="AU13" s="361">
        <f t="shared" si="15"/>
        <v>18.772956060399945</v>
      </c>
    </row>
    <row r="14" spans="1:47" s="362" customFormat="1" ht="46.5" customHeight="1" x14ac:dyDescent="0.25">
      <c r="A14" s="359">
        <v>7</v>
      </c>
      <c r="B14" s="372" t="s">
        <v>323</v>
      </c>
      <c r="C14" s="360"/>
      <c r="D14" s="360"/>
      <c r="E14" s="360">
        <f t="shared" si="0"/>
        <v>0</v>
      </c>
      <c r="F14" s="360"/>
      <c r="G14" s="360"/>
      <c r="H14" s="360">
        <f t="shared" si="1"/>
        <v>0</v>
      </c>
      <c r="I14" s="360"/>
      <c r="J14" s="360"/>
      <c r="K14" s="360">
        <f t="shared" si="2"/>
        <v>0</v>
      </c>
      <c r="L14" s="360">
        <f>174+206</f>
        <v>380</v>
      </c>
      <c r="M14" s="360">
        <f>295+328</f>
        <v>623</v>
      </c>
      <c r="N14" s="360">
        <f t="shared" si="3"/>
        <v>1003</v>
      </c>
      <c r="O14" s="360">
        <f>262+311</f>
        <v>573</v>
      </c>
      <c r="P14" s="360">
        <f>384+457</f>
        <v>841</v>
      </c>
      <c r="Q14" s="360">
        <f t="shared" si="4"/>
        <v>1414</v>
      </c>
      <c r="R14" s="360">
        <f>46+52</f>
        <v>98</v>
      </c>
      <c r="S14" s="360">
        <f>65+111</f>
        <v>176</v>
      </c>
      <c r="T14" s="360">
        <f t="shared" si="5"/>
        <v>274</v>
      </c>
      <c r="U14" s="360">
        <f t="shared" si="16"/>
        <v>0</v>
      </c>
      <c r="V14" s="360">
        <f t="shared" si="17"/>
        <v>0</v>
      </c>
      <c r="W14" s="360">
        <f t="shared" si="18"/>
        <v>0</v>
      </c>
      <c r="X14" s="360">
        <f>102+8+65+5</f>
        <v>180</v>
      </c>
      <c r="Y14" s="360">
        <f>87+4+60+5</f>
        <v>156</v>
      </c>
      <c r="Z14" s="360">
        <f t="shared" si="7"/>
        <v>336</v>
      </c>
      <c r="AA14" s="361" t="e">
        <f t="shared" ref="AA14" si="24">X14/U14%</f>
        <v>#DIV/0!</v>
      </c>
      <c r="AB14" s="361" t="e">
        <f t="shared" ref="AB14" si="25">Y14/V14%</f>
        <v>#DIV/0!</v>
      </c>
      <c r="AC14" s="361" t="e">
        <f t="shared" ref="AC14" si="26">Z14/W14%</f>
        <v>#DIV/0!</v>
      </c>
      <c r="AD14" s="360">
        <v>398</v>
      </c>
      <c r="AE14" s="360">
        <v>563</v>
      </c>
      <c r="AF14" s="360">
        <f t="shared" si="9"/>
        <v>1003</v>
      </c>
      <c r="AG14" s="360">
        <v>11</v>
      </c>
      <c r="AH14" s="360">
        <v>7</v>
      </c>
      <c r="AI14" s="360">
        <f t="shared" si="10"/>
        <v>18</v>
      </c>
      <c r="AJ14" s="361">
        <f t="shared" ref="AJ14" si="27">AG14/AD14%</f>
        <v>2.7638190954773871</v>
      </c>
      <c r="AK14" s="361">
        <f t="shared" ref="AK14" si="28">AH14/AE14%</f>
        <v>1.2433392539964476</v>
      </c>
      <c r="AL14" s="361">
        <f t="shared" ref="AL14" si="29">AI14/AF14%</f>
        <v>1.794616151545364</v>
      </c>
      <c r="AM14" s="360">
        <v>94</v>
      </c>
      <c r="AN14" s="360">
        <v>174</v>
      </c>
      <c r="AO14" s="360">
        <f t="shared" si="13"/>
        <v>274</v>
      </c>
      <c r="AP14" s="360">
        <v>2</v>
      </c>
      <c r="AQ14" s="360">
        <v>2</v>
      </c>
      <c r="AR14" s="360">
        <f t="shared" si="14"/>
        <v>4</v>
      </c>
      <c r="AS14" s="361">
        <f t="shared" ref="AS14" si="30">AP14/AM14%</f>
        <v>2.1276595744680851</v>
      </c>
      <c r="AT14" s="361">
        <f t="shared" ref="AT14" si="31">AQ14/AN14%</f>
        <v>1.1494252873563218</v>
      </c>
      <c r="AU14" s="361">
        <f t="shared" ref="AU14" si="32">AR14/AO14%</f>
        <v>1.4598540145985401</v>
      </c>
    </row>
    <row r="15" spans="1:47" s="362" customFormat="1" ht="46.5" customHeight="1" x14ac:dyDescent="0.25">
      <c r="A15" s="515" t="s">
        <v>3</v>
      </c>
      <c r="B15" s="516"/>
      <c r="C15" s="363">
        <f t="shared" ref="C15:T15" si="33">SUM(C8:C14)</f>
        <v>37664</v>
      </c>
      <c r="D15" s="363">
        <f t="shared" si="33"/>
        <v>15433</v>
      </c>
      <c r="E15" s="363">
        <f t="shared" si="33"/>
        <v>53097</v>
      </c>
      <c r="F15" s="363">
        <f t="shared" si="33"/>
        <v>7878</v>
      </c>
      <c r="G15" s="363">
        <f t="shared" si="33"/>
        <v>4068</v>
      </c>
      <c r="H15" s="363">
        <f t="shared" si="33"/>
        <v>11946</v>
      </c>
      <c r="I15" s="363">
        <f t="shared" si="33"/>
        <v>7056</v>
      </c>
      <c r="J15" s="363">
        <f t="shared" si="33"/>
        <v>3592</v>
      </c>
      <c r="K15" s="363">
        <f t="shared" si="33"/>
        <v>10648</v>
      </c>
      <c r="L15" s="363">
        <f t="shared" si="33"/>
        <v>20470</v>
      </c>
      <c r="M15" s="363">
        <f t="shared" si="33"/>
        <v>14514</v>
      </c>
      <c r="N15" s="363">
        <f t="shared" si="33"/>
        <v>34984</v>
      </c>
      <c r="O15" s="363">
        <f t="shared" si="33"/>
        <v>42401</v>
      </c>
      <c r="P15" s="363">
        <f t="shared" si="33"/>
        <v>36072</v>
      </c>
      <c r="Q15" s="363">
        <f t="shared" si="33"/>
        <v>78473</v>
      </c>
      <c r="R15" s="363">
        <f t="shared" si="33"/>
        <v>16663</v>
      </c>
      <c r="S15" s="363">
        <f t="shared" si="33"/>
        <v>15624</v>
      </c>
      <c r="T15" s="363">
        <f t="shared" si="33"/>
        <v>32287</v>
      </c>
      <c r="U15" s="363">
        <f t="shared" si="16"/>
        <v>7878</v>
      </c>
      <c r="V15" s="363">
        <f t="shared" si="17"/>
        <v>4068</v>
      </c>
      <c r="W15" s="363">
        <f t="shared" si="18"/>
        <v>11946</v>
      </c>
      <c r="X15" s="363">
        <f>SUM(X8:X14)</f>
        <v>29849</v>
      </c>
      <c r="Y15" s="363">
        <f>SUM(Y8:Y14)</f>
        <v>15913</v>
      </c>
      <c r="Z15" s="363">
        <f>SUM(Z8:Z14)</f>
        <v>45762</v>
      </c>
      <c r="AA15" s="364">
        <f t="shared" ref="AA15" si="34">X15/U15%</f>
        <v>378.89058136582889</v>
      </c>
      <c r="AB15" s="364">
        <f t="shared" ref="AB15" si="35">Y15/V15%</f>
        <v>391.17502458210424</v>
      </c>
      <c r="AC15" s="364">
        <f t="shared" ref="AC15" si="36">Z15/W15%</f>
        <v>383.07383224510301</v>
      </c>
      <c r="AD15" s="363">
        <f t="shared" ref="AD15:AI15" si="37">SUM(AD8:AD14)</f>
        <v>20488</v>
      </c>
      <c r="AE15" s="363">
        <f t="shared" si="37"/>
        <v>14454</v>
      </c>
      <c r="AF15" s="363">
        <f t="shared" si="37"/>
        <v>34984</v>
      </c>
      <c r="AG15" s="363">
        <f t="shared" si="37"/>
        <v>3216</v>
      </c>
      <c r="AH15" s="363">
        <f t="shared" si="37"/>
        <v>1923</v>
      </c>
      <c r="AI15" s="363">
        <f t="shared" si="37"/>
        <v>5139</v>
      </c>
      <c r="AJ15" s="364">
        <f t="shared" ref="AJ15" si="38">AG15/AD15%</f>
        <v>15.696993361967982</v>
      </c>
      <c r="AK15" s="364">
        <f t="shared" ref="AK15" si="39">AH15/AE15%</f>
        <v>13.304275633042757</v>
      </c>
      <c r="AL15" s="364">
        <f t="shared" ref="AL15" si="40">AI15/AF15%</f>
        <v>14.689572375943289</v>
      </c>
      <c r="AM15" s="363">
        <f t="shared" ref="AM15:AR15" si="41">SUM(AM8:AM14)</f>
        <v>16659</v>
      </c>
      <c r="AN15" s="363">
        <f t="shared" si="41"/>
        <v>15622</v>
      </c>
      <c r="AO15" s="363">
        <f t="shared" si="41"/>
        <v>32287</v>
      </c>
      <c r="AP15" s="363">
        <f t="shared" si="41"/>
        <v>1808</v>
      </c>
      <c r="AQ15" s="363">
        <f t="shared" si="41"/>
        <v>1468</v>
      </c>
      <c r="AR15" s="363">
        <f t="shared" si="41"/>
        <v>3276</v>
      </c>
      <c r="AS15" s="364">
        <f t="shared" ref="AS15" si="42">AP15/AM15%</f>
        <v>10.852992376493187</v>
      </c>
      <c r="AT15" s="364">
        <f t="shared" ref="AT15" si="43">AQ15/AN15%</f>
        <v>9.3970042248111643</v>
      </c>
      <c r="AU15" s="364">
        <f t="shared" ref="AU15" si="44">AR15/AO15%</f>
        <v>10.146498590764084</v>
      </c>
    </row>
    <row r="16" spans="1:47" ht="25.5" customHeight="1" x14ac:dyDescent="0.25">
      <c r="A16" s="517"/>
      <c r="B16" s="517"/>
      <c r="C16" s="349" t="s">
        <v>227</v>
      </c>
      <c r="D16" s="346"/>
      <c r="E16" s="346"/>
      <c r="F16" s="347"/>
      <c r="G16" s="346"/>
      <c r="H16" s="346"/>
      <c r="I16" s="348"/>
      <c r="J16" s="348"/>
      <c r="K16" s="348"/>
      <c r="L16" s="348"/>
      <c r="M16" s="348"/>
      <c r="N16" s="348"/>
      <c r="O16" s="348"/>
      <c r="P16" s="348"/>
      <c r="Q16" s="348"/>
      <c r="R16" s="154"/>
      <c r="S16" s="154"/>
      <c r="T16" s="154"/>
      <c r="U16" s="349" t="s">
        <v>227</v>
      </c>
      <c r="V16" s="152"/>
      <c r="W16" s="152"/>
      <c r="X16" s="153"/>
      <c r="Y16" s="152"/>
      <c r="Z16" s="152"/>
      <c r="AA16" s="154"/>
      <c r="AB16" s="154"/>
      <c r="AC16" s="154"/>
      <c r="AD16" s="349" t="s">
        <v>227</v>
      </c>
      <c r="AE16" s="152"/>
      <c r="AF16" s="152"/>
      <c r="AG16" s="153"/>
      <c r="AH16" s="152"/>
      <c r="AI16" s="152"/>
      <c r="AJ16" s="154"/>
      <c r="AK16" s="154"/>
      <c r="AL16" s="154"/>
      <c r="AM16" s="349" t="s">
        <v>227</v>
      </c>
      <c r="AN16" s="152"/>
      <c r="AO16" s="152"/>
      <c r="AP16" s="153"/>
      <c r="AQ16" s="152"/>
      <c r="AR16" s="152"/>
      <c r="AS16" s="154"/>
      <c r="AT16" s="154"/>
      <c r="AU16" s="154"/>
    </row>
    <row r="17" spans="1:47" ht="25.5" customHeight="1" x14ac:dyDescent="0.25">
      <c r="A17" s="151"/>
      <c r="B17" s="152"/>
      <c r="C17" s="365" t="s">
        <v>321</v>
      </c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U17" s="341" t="s">
        <v>321</v>
      </c>
      <c r="V17" s="341"/>
      <c r="W17" s="341"/>
      <c r="X17" s="341"/>
      <c r="Y17" s="341"/>
      <c r="Z17" s="341"/>
      <c r="AA17" s="341"/>
      <c r="AB17" s="341"/>
      <c r="AC17" s="341"/>
      <c r="AD17" s="341" t="s">
        <v>316</v>
      </c>
      <c r="AE17" s="341"/>
      <c r="AF17" s="341"/>
      <c r="AG17" s="341"/>
      <c r="AH17" s="341"/>
      <c r="AI17" s="341"/>
      <c r="AJ17" s="341"/>
      <c r="AK17" s="341"/>
      <c r="AL17" s="341"/>
      <c r="AM17" s="341" t="s">
        <v>316</v>
      </c>
      <c r="AN17" s="341"/>
      <c r="AO17" s="341"/>
      <c r="AP17" s="341"/>
      <c r="AQ17" s="341"/>
      <c r="AR17" s="341"/>
      <c r="AS17" s="341"/>
      <c r="AT17" s="341"/>
      <c r="AU17" s="341"/>
    </row>
    <row r="18" spans="1:47" ht="15" customHeight="1" x14ac:dyDescent="0.25">
      <c r="C18" s="155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U18" s="155"/>
      <c r="V18" s="156"/>
      <c r="W18" s="156"/>
      <c r="X18" s="156"/>
      <c r="Y18" s="156"/>
      <c r="Z18" s="156"/>
      <c r="AA18" s="156"/>
      <c r="AB18" s="156"/>
      <c r="AC18" s="156"/>
      <c r="AD18" s="155"/>
      <c r="AE18" s="156"/>
      <c r="AF18" s="156"/>
      <c r="AG18" s="156"/>
      <c r="AH18" s="156"/>
      <c r="AI18" s="156"/>
      <c r="AJ18" s="156"/>
      <c r="AK18" s="156"/>
      <c r="AL18" s="156"/>
      <c r="AM18" s="155"/>
      <c r="AN18" s="156"/>
      <c r="AO18" s="156"/>
      <c r="AP18" s="156"/>
      <c r="AQ18" s="156"/>
      <c r="AR18" s="156"/>
      <c r="AS18" s="156"/>
      <c r="AT18" s="156"/>
      <c r="AU18" s="156"/>
    </row>
  </sheetData>
  <mergeCells count="32">
    <mergeCell ref="AS4:AU4"/>
    <mergeCell ref="U3:AC3"/>
    <mergeCell ref="AD3:AL3"/>
    <mergeCell ref="AM3:AU3"/>
    <mergeCell ref="AS5:AU5"/>
    <mergeCell ref="X5:Z5"/>
    <mergeCell ref="U4:W5"/>
    <mergeCell ref="X4:Z4"/>
    <mergeCell ref="AA4:AC4"/>
    <mergeCell ref="AG5:AI5"/>
    <mergeCell ref="AJ5:AL5"/>
    <mergeCell ref="AP5:AR5"/>
    <mergeCell ref="AJ4:AL4"/>
    <mergeCell ref="AM4:AO5"/>
    <mergeCell ref="AP4:AR4"/>
    <mergeCell ref="AD4:AF5"/>
    <mergeCell ref="A16:B16"/>
    <mergeCell ref="C5:E5"/>
    <mergeCell ref="F5:H5"/>
    <mergeCell ref="I5:K5"/>
    <mergeCell ref="A3:A6"/>
    <mergeCell ref="B3:B6"/>
    <mergeCell ref="C4:H4"/>
    <mergeCell ref="C3:T3"/>
    <mergeCell ref="L5:N5"/>
    <mergeCell ref="O5:Q5"/>
    <mergeCell ref="R5:T5"/>
    <mergeCell ref="AG4:AI4"/>
    <mergeCell ref="AA5:AC5"/>
    <mergeCell ref="I4:N4"/>
    <mergeCell ref="O4:T4"/>
    <mergeCell ref="A15:B15"/>
  </mergeCells>
  <pageMargins left="0.7" right="0.7" top="0.75" bottom="0.75" header="0.3" footer="0.3"/>
  <pageSetup paperSize="9" scale="51" firstPageNumber="25" orientation="landscape" useFirstPageNumber="1" r:id="rId1"/>
  <headerFooter>
    <oddFooter>Page &amp;P</oddFooter>
  </headerFooter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4"/>
  <sheetViews>
    <sheetView view="pageBreakPreview" topLeftCell="A37" zoomScale="60" workbookViewId="0">
      <selection activeCell="R59" sqref="R59"/>
    </sheetView>
  </sheetViews>
  <sheetFormatPr defaultRowHeight="15" x14ac:dyDescent="0.25"/>
  <cols>
    <col min="1" max="1" width="9.28515625" bestFit="1" customWidth="1"/>
    <col min="2" max="2" width="13.5703125" customWidth="1"/>
    <col min="3" max="3" width="14.42578125" customWidth="1"/>
    <col min="4" max="4" width="11.5703125" bestFit="1" customWidth="1"/>
    <col min="5" max="5" width="13" bestFit="1" customWidth="1"/>
    <col min="6" max="7" width="11.5703125" bestFit="1" customWidth="1"/>
    <col min="8" max="8" width="13" bestFit="1" customWidth="1"/>
    <col min="9" max="14" width="11.5703125" bestFit="1" customWidth="1"/>
    <col min="15" max="16" width="10.140625" bestFit="1" customWidth="1"/>
    <col min="17" max="17" width="11.5703125" bestFit="1" customWidth="1"/>
    <col min="18" max="19" width="10.140625" bestFit="1" customWidth="1"/>
    <col min="20" max="20" width="10.28515625" bestFit="1" customWidth="1"/>
  </cols>
  <sheetData>
    <row r="1" spans="1:20" ht="18" x14ac:dyDescent="0.25">
      <c r="A1" s="130"/>
      <c r="B1" s="130"/>
      <c r="C1" s="131" t="s">
        <v>329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 t="str">
        <f>+C1</f>
        <v>Table 11 - SECONDARY EXAMINATION RESULTS DURING 2010 - 2017 (CENTRAL/STATE BOARDS)</v>
      </c>
      <c r="P1" s="132"/>
      <c r="Q1" s="132"/>
      <c r="R1" s="132"/>
      <c r="S1" s="132"/>
      <c r="T1" s="132"/>
    </row>
    <row r="2" spans="1:20" x14ac:dyDescent="0.25">
      <c r="A2" s="484" t="s">
        <v>218</v>
      </c>
      <c r="B2" s="524" t="s">
        <v>327</v>
      </c>
      <c r="C2" s="484" t="s">
        <v>188</v>
      </c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 t="s">
        <v>188</v>
      </c>
      <c r="P2" s="484"/>
      <c r="Q2" s="484"/>
      <c r="R2" s="484"/>
      <c r="S2" s="484"/>
      <c r="T2" s="484"/>
    </row>
    <row r="3" spans="1:20" x14ac:dyDescent="0.25">
      <c r="A3" s="484"/>
      <c r="B3" s="525"/>
      <c r="C3" s="484" t="s">
        <v>219</v>
      </c>
      <c r="D3" s="484"/>
      <c r="E3" s="484"/>
      <c r="F3" s="484"/>
      <c r="G3" s="484"/>
      <c r="H3" s="484"/>
      <c r="I3" s="484" t="s">
        <v>220</v>
      </c>
      <c r="J3" s="484"/>
      <c r="K3" s="484"/>
      <c r="L3" s="484"/>
      <c r="M3" s="484"/>
      <c r="N3" s="484"/>
      <c r="O3" s="484" t="s">
        <v>221</v>
      </c>
      <c r="P3" s="484"/>
      <c r="Q3" s="484"/>
      <c r="R3" s="484"/>
      <c r="S3" s="484"/>
      <c r="T3" s="484"/>
    </row>
    <row r="4" spans="1:20" x14ac:dyDescent="0.25">
      <c r="A4" s="484"/>
      <c r="B4" s="525"/>
      <c r="C4" s="484" t="s">
        <v>5</v>
      </c>
      <c r="D4" s="484"/>
      <c r="E4" s="484"/>
      <c r="F4" s="484" t="s">
        <v>6</v>
      </c>
      <c r="G4" s="484"/>
      <c r="H4" s="484"/>
      <c r="I4" s="484" t="s">
        <v>5</v>
      </c>
      <c r="J4" s="484"/>
      <c r="K4" s="484"/>
      <c r="L4" s="484" t="s">
        <v>6</v>
      </c>
      <c r="M4" s="484"/>
      <c r="N4" s="484"/>
      <c r="O4" s="484" t="s">
        <v>5</v>
      </c>
      <c r="P4" s="484"/>
      <c r="Q4" s="484"/>
      <c r="R4" s="484" t="s">
        <v>6</v>
      </c>
      <c r="S4" s="484"/>
      <c r="T4" s="484"/>
    </row>
    <row r="5" spans="1:20" x14ac:dyDescent="0.25">
      <c r="A5" s="484"/>
      <c r="B5" s="525"/>
      <c r="C5" s="366" t="s">
        <v>43</v>
      </c>
      <c r="D5" s="366" t="s">
        <v>44</v>
      </c>
      <c r="E5" s="366" t="s">
        <v>3</v>
      </c>
      <c r="F5" s="366" t="s">
        <v>43</v>
      </c>
      <c r="G5" s="366" t="s">
        <v>44</v>
      </c>
      <c r="H5" s="366" t="s">
        <v>3</v>
      </c>
      <c r="I5" s="366" t="s">
        <v>43</v>
      </c>
      <c r="J5" s="366" t="s">
        <v>44</v>
      </c>
      <c r="K5" s="366" t="s">
        <v>3</v>
      </c>
      <c r="L5" s="366" t="s">
        <v>43</v>
      </c>
      <c r="M5" s="366" t="s">
        <v>44</v>
      </c>
      <c r="N5" s="366" t="s">
        <v>3</v>
      </c>
      <c r="O5" s="366" t="s">
        <v>43</v>
      </c>
      <c r="P5" s="366" t="s">
        <v>44</v>
      </c>
      <c r="Q5" s="366" t="s">
        <v>3</v>
      </c>
      <c r="R5" s="366" t="s">
        <v>43</v>
      </c>
      <c r="S5" s="366" t="s">
        <v>44</v>
      </c>
      <c r="T5" s="366" t="s">
        <v>3</v>
      </c>
    </row>
    <row r="6" spans="1:20" x14ac:dyDescent="0.25">
      <c r="A6" s="133">
        <v>1</v>
      </c>
      <c r="B6" s="133">
        <v>2</v>
      </c>
      <c r="C6" s="133">
        <v>3</v>
      </c>
      <c r="D6" s="133">
        <v>4</v>
      </c>
      <c r="E6" s="133">
        <v>5</v>
      </c>
      <c r="F6" s="133">
        <v>6</v>
      </c>
      <c r="G6" s="133">
        <v>7</v>
      </c>
      <c r="H6" s="133">
        <v>8</v>
      </c>
      <c r="I6" s="133">
        <v>9</v>
      </c>
      <c r="J6" s="133">
        <v>10</v>
      </c>
      <c r="K6" s="133">
        <v>11</v>
      </c>
      <c r="L6" s="133">
        <v>12</v>
      </c>
      <c r="M6" s="133">
        <v>13</v>
      </c>
      <c r="N6" s="133">
        <v>14</v>
      </c>
      <c r="O6" s="133">
        <v>15</v>
      </c>
      <c r="P6" s="133">
        <v>16</v>
      </c>
      <c r="Q6" s="133">
        <v>17</v>
      </c>
      <c r="R6" s="133">
        <v>18</v>
      </c>
      <c r="S6" s="133">
        <v>19</v>
      </c>
      <c r="T6" s="133">
        <v>20</v>
      </c>
    </row>
    <row r="7" spans="1:20" ht="15.75" x14ac:dyDescent="0.25">
      <c r="A7" s="134">
        <v>2010</v>
      </c>
      <c r="B7" s="135">
        <v>34</v>
      </c>
      <c r="C7" s="136">
        <f>+[1]Board!AG44</f>
        <v>9374906</v>
      </c>
      <c r="D7" s="136">
        <f>+[1]Board!AH44</f>
        <v>7351211</v>
      </c>
      <c r="E7" s="136">
        <f>+[1]Board!AI44</f>
        <v>16726117</v>
      </c>
      <c r="F7" s="136">
        <f>+[1]Board!AP44</f>
        <v>6862354</v>
      </c>
      <c r="G7" s="136">
        <f>+[1]Board!AQ44</f>
        <v>5687118</v>
      </c>
      <c r="H7" s="136">
        <f>+[1]Board!AR44</f>
        <v>12549472</v>
      </c>
      <c r="I7" s="136">
        <f>+[1]Board!BZ44</f>
        <v>1517853</v>
      </c>
      <c r="J7" s="136">
        <f>+[1]Board!CA44</f>
        <v>1169643</v>
      </c>
      <c r="K7" s="136">
        <f>+[1]Board!CB44</f>
        <v>2687496</v>
      </c>
      <c r="L7" s="136">
        <f>+[1]Board!CI44</f>
        <v>1020344</v>
      </c>
      <c r="M7" s="136">
        <f>+[1]Board!CJ44</f>
        <v>834309</v>
      </c>
      <c r="N7" s="136">
        <f>+[1]Board!CK44</f>
        <v>1854653</v>
      </c>
      <c r="O7" s="136">
        <f>+[1]Board!DS44</f>
        <v>613490</v>
      </c>
      <c r="P7" s="136">
        <f>+[1]Board!DT44</f>
        <v>476366</v>
      </c>
      <c r="Q7" s="136">
        <f>+[1]Board!DU44</f>
        <v>1089856</v>
      </c>
      <c r="R7" s="136">
        <f>+[1]Board!EB44</f>
        <v>382583</v>
      </c>
      <c r="S7" s="136">
        <f>+[1]Board!EC44</f>
        <v>293139</v>
      </c>
      <c r="T7" s="136">
        <f>+[1]Board!ED44</f>
        <v>675722</v>
      </c>
    </row>
    <row r="8" spans="1:20" ht="15.75" x14ac:dyDescent="0.25">
      <c r="A8" s="137">
        <v>2011</v>
      </c>
      <c r="B8" s="135">
        <v>34</v>
      </c>
      <c r="C8" s="136">
        <v>9799667</v>
      </c>
      <c r="D8" s="136">
        <v>7818871</v>
      </c>
      <c r="E8" s="136">
        <v>17623309</v>
      </c>
      <c r="F8" s="136">
        <v>7183560</v>
      </c>
      <c r="G8" s="136">
        <v>6013853</v>
      </c>
      <c r="H8" s="136">
        <v>13199625</v>
      </c>
      <c r="I8" s="136">
        <v>1687903</v>
      </c>
      <c r="J8" s="136">
        <v>1379568</v>
      </c>
      <c r="K8" s="136">
        <v>3067471</v>
      </c>
      <c r="L8" s="136">
        <v>1150634</v>
      </c>
      <c r="M8" s="136">
        <v>977953</v>
      </c>
      <c r="N8" s="136">
        <v>2128587</v>
      </c>
      <c r="O8" s="136">
        <v>661275</v>
      </c>
      <c r="P8" s="136">
        <v>531300</v>
      </c>
      <c r="Q8" s="136">
        <v>1192575</v>
      </c>
      <c r="R8" s="136">
        <v>415430</v>
      </c>
      <c r="S8" s="136">
        <v>332993</v>
      </c>
      <c r="T8" s="136">
        <v>748423</v>
      </c>
    </row>
    <row r="9" spans="1:20" ht="15.75" x14ac:dyDescent="0.25">
      <c r="A9" s="134">
        <v>2012</v>
      </c>
      <c r="B9" s="135">
        <v>34</v>
      </c>
      <c r="C9" s="138">
        <v>9939916</v>
      </c>
      <c r="D9" s="138">
        <v>8086742</v>
      </c>
      <c r="E9" s="138">
        <v>18026658</v>
      </c>
      <c r="F9" s="138">
        <v>7430776</v>
      </c>
      <c r="G9" s="138">
        <v>6334551</v>
      </c>
      <c r="H9" s="138">
        <v>13765327</v>
      </c>
      <c r="I9" s="138">
        <v>1596559</v>
      </c>
      <c r="J9" s="138">
        <v>1285426</v>
      </c>
      <c r="K9" s="138">
        <v>2881985</v>
      </c>
      <c r="L9" s="138">
        <v>1097023</v>
      </c>
      <c r="M9" s="138">
        <v>932159</v>
      </c>
      <c r="N9" s="138">
        <v>2029182</v>
      </c>
      <c r="O9" s="138">
        <v>638691</v>
      </c>
      <c r="P9" s="138">
        <v>547182</v>
      </c>
      <c r="Q9" s="138">
        <v>1185873</v>
      </c>
      <c r="R9" s="138">
        <v>395747</v>
      </c>
      <c r="S9" s="138">
        <v>334876</v>
      </c>
      <c r="T9" s="138">
        <v>730623</v>
      </c>
    </row>
    <row r="10" spans="1:20" ht="15.75" x14ac:dyDescent="0.25">
      <c r="A10" s="137">
        <v>2013</v>
      </c>
      <c r="B10" s="135">
        <v>35</v>
      </c>
      <c r="C10" s="136">
        <f t="shared" ref="C10:T10" si="0">+C40-C25</f>
        <v>10507044</v>
      </c>
      <c r="D10" s="136">
        <f t="shared" si="0"/>
        <v>8617208</v>
      </c>
      <c r="E10" s="136">
        <f t="shared" si="0"/>
        <v>19124252</v>
      </c>
      <c r="F10" s="136">
        <f t="shared" si="0"/>
        <v>8037590</v>
      </c>
      <c r="G10" s="136">
        <f t="shared" si="0"/>
        <v>6932924</v>
      </c>
      <c r="H10" s="136">
        <f t="shared" si="0"/>
        <v>14970514</v>
      </c>
      <c r="I10" s="136">
        <f t="shared" si="0"/>
        <v>1765636</v>
      </c>
      <c r="J10" s="136">
        <f t="shared" si="0"/>
        <v>1459662</v>
      </c>
      <c r="K10" s="136">
        <f t="shared" si="0"/>
        <v>3225298</v>
      </c>
      <c r="L10" s="136">
        <f t="shared" si="0"/>
        <v>1232058</v>
      </c>
      <c r="M10" s="136">
        <f t="shared" si="0"/>
        <v>1076244</v>
      </c>
      <c r="N10" s="136">
        <f t="shared" si="0"/>
        <v>2308302</v>
      </c>
      <c r="O10" s="136">
        <f t="shared" si="0"/>
        <v>745569</v>
      </c>
      <c r="P10" s="136">
        <f t="shared" si="0"/>
        <v>656963</v>
      </c>
      <c r="Q10" s="136">
        <f t="shared" si="0"/>
        <v>1402532</v>
      </c>
      <c r="R10" s="136">
        <f t="shared" si="0"/>
        <v>480652</v>
      </c>
      <c r="S10" s="136">
        <f t="shared" si="0"/>
        <v>426303</v>
      </c>
      <c r="T10" s="136">
        <f t="shared" si="0"/>
        <v>906955</v>
      </c>
    </row>
    <row r="11" spans="1:20" ht="15.75" x14ac:dyDescent="0.25">
      <c r="A11" s="137">
        <v>2014</v>
      </c>
      <c r="B11" s="135">
        <v>35</v>
      </c>
      <c r="C11" s="136">
        <f t="shared" ref="C11:T11" si="1">+C41-C26</f>
        <v>10229689</v>
      </c>
      <c r="D11" s="136">
        <f t="shared" si="1"/>
        <v>8625318</v>
      </c>
      <c r="E11" s="136">
        <f t="shared" si="1"/>
        <v>18855007</v>
      </c>
      <c r="F11" s="136">
        <f t="shared" si="1"/>
        <v>8041716</v>
      </c>
      <c r="G11" s="136">
        <f t="shared" si="1"/>
        <v>7053738</v>
      </c>
      <c r="H11" s="136">
        <f t="shared" si="1"/>
        <v>15095454</v>
      </c>
      <c r="I11" s="136">
        <f t="shared" si="1"/>
        <v>1756049</v>
      </c>
      <c r="J11" s="136">
        <f t="shared" si="1"/>
        <v>1485264</v>
      </c>
      <c r="K11" s="136">
        <f t="shared" si="1"/>
        <v>3241313</v>
      </c>
      <c r="L11" s="136">
        <f t="shared" si="1"/>
        <v>1268455</v>
      </c>
      <c r="M11" s="136">
        <f t="shared" si="1"/>
        <v>1124169</v>
      </c>
      <c r="N11" s="136">
        <f t="shared" si="1"/>
        <v>2392586</v>
      </c>
      <c r="O11" s="136">
        <f t="shared" si="1"/>
        <v>757751</v>
      </c>
      <c r="P11" s="136">
        <f t="shared" si="1"/>
        <v>694604</v>
      </c>
      <c r="Q11" s="136">
        <f t="shared" si="1"/>
        <v>1452355</v>
      </c>
      <c r="R11" s="136">
        <f t="shared" si="1"/>
        <v>501712</v>
      </c>
      <c r="S11" s="136">
        <f t="shared" si="1"/>
        <v>450920</v>
      </c>
      <c r="T11" s="136">
        <f t="shared" si="1"/>
        <v>952632</v>
      </c>
    </row>
    <row r="12" spans="1:20" ht="15.75" x14ac:dyDescent="0.25">
      <c r="A12" s="137">
        <v>2015</v>
      </c>
      <c r="B12" s="135">
        <v>35</v>
      </c>
      <c r="C12" s="136">
        <f t="shared" ref="C12:T12" si="2">+C42-C27</f>
        <v>10078588</v>
      </c>
      <c r="D12" s="136">
        <f t="shared" si="2"/>
        <v>8708092</v>
      </c>
      <c r="E12" s="136">
        <f t="shared" si="2"/>
        <v>18786680</v>
      </c>
      <c r="F12" s="136">
        <f t="shared" si="2"/>
        <v>7830993</v>
      </c>
      <c r="G12" s="136">
        <f t="shared" si="2"/>
        <v>7038908</v>
      </c>
      <c r="H12" s="136">
        <f t="shared" si="2"/>
        <v>14869901</v>
      </c>
      <c r="I12" s="136">
        <f t="shared" si="2"/>
        <v>1728900</v>
      </c>
      <c r="J12" s="136">
        <f t="shared" si="2"/>
        <v>1495210</v>
      </c>
      <c r="K12" s="136">
        <f t="shared" si="2"/>
        <v>3224110</v>
      </c>
      <c r="L12" s="136">
        <f t="shared" si="2"/>
        <v>1244282</v>
      </c>
      <c r="M12" s="136">
        <f t="shared" si="2"/>
        <v>1119501</v>
      </c>
      <c r="N12" s="136">
        <f t="shared" si="2"/>
        <v>2363783</v>
      </c>
      <c r="O12" s="136">
        <f t="shared" si="2"/>
        <v>756299</v>
      </c>
      <c r="P12" s="136">
        <f t="shared" si="2"/>
        <v>711597</v>
      </c>
      <c r="Q12" s="136">
        <f t="shared" si="2"/>
        <v>1467896</v>
      </c>
      <c r="R12" s="136">
        <f t="shared" si="2"/>
        <v>491790</v>
      </c>
      <c r="S12" s="136">
        <f t="shared" si="2"/>
        <v>449720</v>
      </c>
      <c r="T12" s="136">
        <f t="shared" si="2"/>
        <v>941510</v>
      </c>
    </row>
    <row r="13" spans="1:20" ht="15.75" x14ac:dyDescent="0.25">
      <c r="A13" s="137">
        <v>2016</v>
      </c>
      <c r="B13" s="143">
        <v>42</v>
      </c>
      <c r="C13" s="136">
        <v>10446940</v>
      </c>
      <c r="D13" s="136">
        <v>8948878</v>
      </c>
      <c r="E13" s="136">
        <v>19395818</v>
      </c>
      <c r="F13" s="136">
        <v>8118493</v>
      </c>
      <c r="G13" s="136">
        <v>7140555</v>
      </c>
      <c r="H13" s="136">
        <v>15259048</v>
      </c>
      <c r="I13" s="136">
        <v>1840866</v>
      </c>
      <c r="J13" s="136">
        <v>1590816</v>
      </c>
      <c r="K13" s="136">
        <v>3431682</v>
      </c>
      <c r="L13" s="136">
        <v>1324673</v>
      </c>
      <c r="M13" s="136">
        <v>1187053</v>
      </c>
      <c r="N13" s="136">
        <v>2511726</v>
      </c>
      <c r="O13" s="136">
        <v>779133</v>
      </c>
      <c r="P13" s="136">
        <v>734656</v>
      </c>
      <c r="Q13" s="136">
        <v>1513789</v>
      </c>
      <c r="R13" s="136">
        <v>507673</v>
      </c>
      <c r="S13" s="136">
        <v>476877</v>
      </c>
      <c r="T13" s="136">
        <v>984550</v>
      </c>
    </row>
    <row r="14" spans="1:20" ht="15.75" x14ac:dyDescent="0.25">
      <c r="A14" s="137">
        <v>2017</v>
      </c>
      <c r="B14" s="135">
        <v>41</v>
      </c>
      <c r="C14" s="136">
        <f>+[2]Board!AG51</f>
        <v>10340418</v>
      </c>
      <c r="D14" s="136">
        <f>+[2]Board!AH51</f>
        <v>8973973</v>
      </c>
      <c r="E14" s="136">
        <f>+[2]Board!AI51</f>
        <v>19314391</v>
      </c>
      <c r="F14" s="136">
        <f>+[2]Board!AP51</f>
        <v>7872615</v>
      </c>
      <c r="G14" s="136">
        <f>+[2]Board!AQ51</f>
        <v>7004464</v>
      </c>
      <c r="H14" s="136">
        <f>+[2]Board!AR51</f>
        <v>14877079</v>
      </c>
      <c r="I14" s="136">
        <f>+[2]Board!BZ51</f>
        <v>1818268</v>
      </c>
      <c r="J14" s="136">
        <f>+[2]Board!CA51</f>
        <v>1615036</v>
      </c>
      <c r="K14" s="136">
        <f>+[2]Board!CB51</f>
        <v>3433304</v>
      </c>
      <c r="L14" s="136">
        <f>+[2]Board!CI51</f>
        <v>1270069</v>
      </c>
      <c r="M14" s="136">
        <f>+[2]Board!CJ51</f>
        <v>1162453</v>
      </c>
      <c r="N14" s="136">
        <f>+[2]Board!CK51</f>
        <v>2432522</v>
      </c>
      <c r="O14" s="136">
        <f>+[2]Board!DS51</f>
        <v>761861</v>
      </c>
      <c r="P14" s="136">
        <f>+[2]Board!DT51</f>
        <v>735819</v>
      </c>
      <c r="Q14" s="136">
        <f>+[2]Board!DU51</f>
        <v>1497680</v>
      </c>
      <c r="R14" s="136">
        <f>+[2]Board!EB51</f>
        <v>510415</v>
      </c>
      <c r="S14" s="136">
        <f>+[2]Board!EC51</f>
        <v>493280</v>
      </c>
      <c r="T14" s="136">
        <f>+[2]Board!ED51</f>
        <v>1003695</v>
      </c>
    </row>
    <row r="15" spans="1:20" ht="15.75" x14ac:dyDescent="0.25">
      <c r="A15" s="140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</row>
    <row r="16" spans="1:20" ht="18" x14ac:dyDescent="0.25">
      <c r="A16" s="130"/>
      <c r="C16" s="131" t="s">
        <v>330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 t="str">
        <f>+C16</f>
        <v>Table 12 -SECONDARY EXAMINATION RESULTS DURING 2010 - 2017 (OPEN SCHOOL BOARDS)</v>
      </c>
      <c r="P16" s="131"/>
      <c r="Q16" s="131"/>
      <c r="R16" s="131"/>
      <c r="S16" s="131"/>
      <c r="T16" s="131"/>
    </row>
    <row r="17" spans="1:20" ht="15" customHeight="1" x14ac:dyDescent="0.25">
      <c r="A17" s="484" t="s">
        <v>218</v>
      </c>
      <c r="B17" s="524" t="s">
        <v>327</v>
      </c>
      <c r="C17" s="484" t="s">
        <v>188</v>
      </c>
      <c r="D17" s="484"/>
      <c r="E17" s="484"/>
      <c r="F17" s="484"/>
      <c r="G17" s="484"/>
      <c r="H17" s="484"/>
      <c r="I17" s="484"/>
      <c r="J17" s="484"/>
      <c r="K17" s="484"/>
      <c r="L17" s="484"/>
      <c r="M17" s="484"/>
      <c r="N17" s="484"/>
      <c r="O17" s="484" t="s">
        <v>188</v>
      </c>
      <c r="P17" s="484"/>
      <c r="Q17" s="484"/>
      <c r="R17" s="484"/>
      <c r="S17" s="484"/>
      <c r="T17" s="484"/>
    </row>
    <row r="18" spans="1:20" x14ac:dyDescent="0.25">
      <c r="A18" s="484"/>
      <c r="B18" s="525"/>
      <c r="C18" s="484" t="s">
        <v>219</v>
      </c>
      <c r="D18" s="484"/>
      <c r="E18" s="484"/>
      <c r="F18" s="484"/>
      <c r="G18" s="484"/>
      <c r="H18" s="484"/>
      <c r="I18" s="484" t="s">
        <v>220</v>
      </c>
      <c r="J18" s="484"/>
      <c r="K18" s="484"/>
      <c r="L18" s="484"/>
      <c r="M18" s="484"/>
      <c r="N18" s="484"/>
      <c r="O18" s="484" t="s">
        <v>221</v>
      </c>
      <c r="P18" s="484"/>
      <c r="Q18" s="484"/>
      <c r="R18" s="484"/>
      <c r="S18" s="484"/>
      <c r="T18" s="484"/>
    </row>
    <row r="19" spans="1:20" x14ac:dyDescent="0.25">
      <c r="A19" s="484"/>
      <c r="B19" s="525"/>
      <c r="C19" s="484" t="s">
        <v>5</v>
      </c>
      <c r="D19" s="484"/>
      <c r="E19" s="484"/>
      <c r="F19" s="484" t="s">
        <v>6</v>
      </c>
      <c r="G19" s="484"/>
      <c r="H19" s="484"/>
      <c r="I19" s="484" t="s">
        <v>5</v>
      </c>
      <c r="J19" s="484"/>
      <c r="K19" s="484"/>
      <c r="L19" s="484" t="s">
        <v>6</v>
      </c>
      <c r="M19" s="484"/>
      <c r="N19" s="484"/>
      <c r="O19" s="484" t="s">
        <v>5</v>
      </c>
      <c r="P19" s="484"/>
      <c r="Q19" s="484"/>
      <c r="R19" s="484" t="s">
        <v>6</v>
      </c>
      <c r="S19" s="484"/>
      <c r="T19" s="484"/>
    </row>
    <row r="20" spans="1:20" x14ac:dyDescent="0.25">
      <c r="A20" s="484"/>
      <c r="B20" s="525"/>
      <c r="C20" s="366" t="s">
        <v>43</v>
      </c>
      <c r="D20" s="366" t="s">
        <v>44</v>
      </c>
      <c r="E20" s="366" t="s">
        <v>3</v>
      </c>
      <c r="F20" s="366" t="s">
        <v>43</v>
      </c>
      <c r="G20" s="366" t="s">
        <v>44</v>
      </c>
      <c r="H20" s="366" t="s">
        <v>3</v>
      </c>
      <c r="I20" s="366" t="s">
        <v>43</v>
      </c>
      <c r="J20" s="366" t="s">
        <v>44</v>
      </c>
      <c r="K20" s="366" t="s">
        <v>3</v>
      </c>
      <c r="L20" s="366" t="s">
        <v>43</v>
      </c>
      <c r="M20" s="366" t="s">
        <v>44</v>
      </c>
      <c r="N20" s="366" t="s">
        <v>3</v>
      </c>
      <c r="O20" s="366" t="s">
        <v>43</v>
      </c>
      <c r="P20" s="366" t="s">
        <v>44</v>
      </c>
      <c r="Q20" s="366" t="s">
        <v>3</v>
      </c>
      <c r="R20" s="366" t="s">
        <v>43</v>
      </c>
      <c r="S20" s="366" t="s">
        <v>44</v>
      </c>
      <c r="T20" s="366" t="s">
        <v>3</v>
      </c>
    </row>
    <row r="21" spans="1:20" x14ac:dyDescent="0.25">
      <c r="A21" s="141">
        <v>1</v>
      </c>
      <c r="B21" s="133">
        <v>2</v>
      </c>
      <c r="C21" s="141">
        <v>3</v>
      </c>
      <c r="D21" s="133">
        <v>4</v>
      </c>
      <c r="E21" s="141">
        <v>5</v>
      </c>
      <c r="F21" s="133">
        <v>6</v>
      </c>
      <c r="G21" s="141">
        <v>7</v>
      </c>
      <c r="H21" s="133">
        <v>8</v>
      </c>
      <c r="I21" s="141">
        <v>9</v>
      </c>
      <c r="J21" s="133">
        <v>10</v>
      </c>
      <c r="K21" s="141">
        <v>11</v>
      </c>
      <c r="L21" s="133">
        <v>12</v>
      </c>
      <c r="M21" s="141">
        <v>13</v>
      </c>
      <c r="N21" s="133">
        <v>14</v>
      </c>
      <c r="O21" s="141">
        <v>15</v>
      </c>
      <c r="P21" s="133">
        <v>16</v>
      </c>
      <c r="Q21" s="141">
        <v>17</v>
      </c>
      <c r="R21" s="133">
        <v>18</v>
      </c>
      <c r="S21" s="141">
        <v>19</v>
      </c>
      <c r="T21" s="141">
        <v>20</v>
      </c>
    </row>
    <row r="22" spans="1:20" ht="15.75" x14ac:dyDescent="0.25">
      <c r="A22" s="137">
        <v>2010</v>
      </c>
      <c r="B22" s="135">
        <v>6</v>
      </c>
      <c r="C22" s="136">
        <f>+[1]OpenBoard!C14</f>
        <v>309135</v>
      </c>
      <c r="D22" s="136">
        <f>+[1]OpenBoard!D14</f>
        <v>214714</v>
      </c>
      <c r="E22" s="136">
        <f>+[1]OpenBoard!E14</f>
        <v>523849</v>
      </c>
      <c r="F22" s="136">
        <f>+[1]OpenBoard!F14</f>
        <v>166883</v>
      </c>
      <c r="G22" s="136">
        <f>+[1]OpenBoard!G14</f>
        <v>106029</v>
      </c>
      <c r="H22" s="136">
        <f>+[1]OpenBoard!H14</f>
        <v>272912</v>
      </c>
      <c r="I22" s="136">
        <f>+[1]OpenBoard!I14</f>
        <v>44666</v>
      </c>
      <c r="J22" s="136">
        <f>+[1]OpenBoard!J14</f>
        <v>27770</v>
      </c>
      <c r="K22" s="136">
        <f>+[1]OpenBoard!K14</f>
        <v>72436</v>
      </c>
      <c r="L22" s="136">
        <f>+[1]OpenBoard!L14</f>
        <v>23557</v>
      </c>
      <c r="M22" s="136">
        <f>+[1]OpenBoard!M14</f>
        <v>13670</v>
      </c>
      <c r="N22" s="136">
        <f>+[1]OpenBoard!N14</f>
        <v>37227</v>
      </c>
      <c r="O22" s="136">
        <f>+[1]OpenBoard!O14</f>
        <v>29962</v>
      </c>
      <c r="P22" s="136">
        <f>+[1]OpenBoard!P14</f>
        <v>25670</v>
      </c>
      <c r="Q22" s="136">
        <f>+[1]OpenBoard!Q14</f>
        <v>55632</v>
      </c>
      <c r="R22" s="136">
        <f>+[1]OpenBoard!R14</f>
        <v>14045</v>
      </c>
      <c r="S22" s="136">
        <f>+[1]OpenBoard!S14</f>
        <v>12019</v>
      </c>
      <c r="T22" s="136">
        <f>+[1]OpenBoard!T14</f>
        <v>26064</v>
      </c>
    </row>
    <row r="23" spans="1:20" ht="15.75" x14ac:dyDescent="0.25">
      <c r="A23" s="137">
        <v>2011</v>
      </c>
      <c r="B23" s="135">
        <v>6</v>
      </c>
      <c r="C23" s="136">
        <v>318896</v>
      </c>
      <c r="D23" s="136">
        <v>219066</v>
      </c>
      <c r="E23" s="136">
        <v>537962</v>
      </c>
      <c r="F23" s="136">
        <v>187686</v>
      </c>
      <c r="G23" s="136">
        <v>117295</v>
      </c>
      <c r="H23" s="136">
        <v>304981</v>
      </c>
      <c r="I23" s="136">
        <v>54250</v>
      </c>
      <c r="J23" s="136">
        <v>33662</v>
      </c>
      <c r="K23" s="136">
        <v>87912</v>
      </c>
      <c r="L23" s="136">
        <v>30472</v>
      </c>
      <c r="M23" s="136">
        <v>18269</v>
      </c>
      <c r="N23" s="136">
        <v>48741</v>
      </c>
      <c r="O23" s="136">
        <v>36915</v>
      </c>
      <c r="P23" s="136">
        <v>31149</v>
      </c>
      <c r="Q23" s="136">
        <v>68064</v>
      </c>
      <c r="R23" s="136">
        <v>22923</v>
      </c>
      <c r="S23" s="136">
        <v>16365</v>
      </c>
      <c r="T23" s="136">
        <v>39288</v>
      </c>
    </row>
    <row r="24" spans="1:20" ht="15.75" x14ac:dyDescent="0.25">
      <c r="A24" s="137">
        <v>2012</v>
      </c>
      <c r="B24" s="135">
        <v>6</v>
      </c>
      <c r="C24" s="136">
        <v>347228</v>
      </c>
      <c r="D24" s="136">
        <v>200891</v>
      </c>
      <c r="E24" s="136">
        <v>548119</v>
      </c>
      <c r="F24" s="136">
        <v>217754</v>
      </c>
      <c r="G24" s="136">
        <v>128039</v>
      </c>
      <c r="H24" s="136">
        <v>345793</v>
      </c>
      <c r="I24" s="136">
        <v>56716</v>
      </c>
      <c r="J24" s="136">
        <v>29791</v>
      </c>
      <c r="K24" s="136">
        <v>86507</v>
      </c>
      <c r="L24" s="136">
        <v>35086</v>
      </c>
      <c r="M24" s="136">
        <v>18274</v>
      </c>
      <c r="N24" s="136">
        <v>53360</v>
      </c>
      <c r="O24" s="136">
        <v>39167</v>
      </c>
      <c r="P24" s="136">
        <v>28097</v>
      </c>
      <c r="Q24" s="136">
        <v>67264</v>
      </c>
      <c r="R24" s="136">
        <v>21215</v>
      </c>
      <c r="S24" s="136">
        <v>17900</v>
      </c>
      <c r="T24" s="136">
        <v>39115</v>
      </c>
    </row>
    <row r="25" spans="1:20" ht="15.75" x14ac:dyDescent="0.25">
      <c r="A25" s="137">
        <v>2013</v>
      </c>
      <c r="B25" s="135">
        <v>6</v>
      </c>
      <c r="C25" s="136">
        <f>+[3]OpenBoard!C14</f>
        <v>397611</v>
      </c>
      <c r="D25" s="136">
        <f>+[3]OpenBoard!D14</f>
        <v>212752</v>
      </c>
      <c r="E25" s="136">
        <f>+[3]OpenBoard!E14</f>
        <v>610363</v>
      </c>
      <c r="F25" s="136">
        <f>+[3]OpenBoard!F14</f>
        <v>220126</v>
      </c>
      <c r="G25" s="136">
        <f>+[3]OpenBoard!G14</f>
        <v>128848</v>
      </c>
      <c r="H25" s="136">
        <f>+[3]OpenBoard!H14</f>
        <v>348974</v>
      </c>
      <c r="I25" s="136">
        <f>+[3]OpenBoard!I14</f>
        <v>60124</v>
      </c>
      <c r="J25" s="136">
        <f>+[3]OpenBoard!J14</f>
        <v>29784</v>
      </c>
      <c r="K25" s="136">
        <f>+[3]OpenBoard!K14</f>
        <v>89908</v>
      </c>
      <c r="L25" s="136">
        <f>+[3]OpenBoard!L14</f>
        <v>33032</v>
      </c>
      <c r="M25" s="136">
        <f>+[3]OpenBoard!M14</f>
        <v>16829</v>
      </c>
      <c r="N25" s="136">
        <f>+[3]OpenBoard!N14</f>
        <v>49861</v>
      </c>
      <c r="O25" s="136">
        <f>+[3]OpenBoard!O14</f>
        <v>41501</v>
      </c>
      <c r="P25" s="136">
        <f>+[3]OpenBoard!P14</f>
        <v>34982</v>
      </c>
      <c r="Q25" s="136">
        <f>+[3]OpenBoard!Q14</f>
        <v>76483</v>
      </c>
      <c r="R25" s="136">
        <f>+[3]OpenBoard!R14</f>
        <v>22331</v>
      </c>
      <c r="S25" s="136">
        <f>+[3]OpenBoard!S14</f>
        <v>19759</v>
      </c>
      <c r="T25" s="136">
        <f>+[3]OpenBoard!T14</f>
        <v>42090</v>
      </c>
    </row>
    <row r="26" spans="1:20" ht="15.75" x14ac:dyDescent="0.25">
      <c r="A26" s="137">
        <v>2014</v>
      </c>
      <c r="B26" s="135">
        <v>6</v>
      </c>
      <c r="C26" s="136">
        <v>372178</v>
      </c>
      <c r="D26" s="136">
        <v>239081</v>
      </c>
      <c r="E26" s="136">
        <v>611259</v>
      </c>
      <c r="F26" s="136">
        <v>179739</v>
      </c>
      <c r="G26" s="136">
        <v>118181</v>
      </c>
      <c r="H26" s="136">
        <v>297920</v>
      </c>
      <c r="I26" s="136">
        <v>52681</v>
      </c>
      <c r="J26" s="136">
        <v>33237</v>
      </c>
      <c r="K26" s="136">
        <v>85918</v>
      </c>
      <c r="L26" s="136">
        <v>26293</v>
      </c>
      <c r="M26" s="136">
        <v>18021</v>
      </c>
      <c r="N26" s="136">
        <v>44352</v>
      </c>
      <c r="O26" s="136">
        <v>43762</v>
      </c>
      <c r="P26" s="136">
        <v>40573</v>
      </c>
      <c r="Q26" s="136">
        <v>84335</v>
      </c>
      <c r="R26" s="136">
        <v>20411</v>
      </c>
      <c r="S26" s="136">
        <v>18876</v>
      </c>
      <c r="T26" s="136">
        <v>39287</v>
      </c>
    </row>
    <row r="27" spans="1:20" ht="15.75" x14ac:dyDescent="0.25">
      <c r="A27" s="137">
        <v>2015</v>
      </c>
      <c r="B27" s="135">
        <v>6</v>
      </c>
      <c r="C27" s="136">
        <v>213979</v>
      </c>
      <c r="D27" s="136">
        <v>157478</v>
      </c>
      <c r="E27" s="136">
        <v>371457</v>
      </c>
      <c r="F27" s="136">
        <v>137173</v>
      </c>
      <c r="G27" s="136">
        <v>97881</v>
      </c>
      <c r="H27" s="136">
        <v>235054</v>
      </c>
      <c r="I27" s="136">
        <v>33829</v>
      </c>
      <c r="J27" s="136">
        <v>23828</v>
      </c>
      <c r="K27" s="136">
        <v>57657</v>
      </c>
      <c r="L27" s="136">
        <v>22432</v>
      </c>
      <c r="M27" s="136">
        <v>16629</v>
      </c>
      <c r="N27" s="136">
        <v>39061</v>
      </c>
      <c r="O27" s="136">
        <v>27689</v>
      </c>
      <c r="P27" s="136">
        <v>25193</v>
      </c>
      <c r="Q27" s="136">
        <v>53213</v>
      </c>
      <c r="R27" s="136">
        <v>18160</v>
      </c>
      <c r="S27" s="136">
        <v>16443</v>
      </c>
      <c r="T27" s="136">
        <v>34603</v>
      </c>
    </row>
    <row r="28" spans="1:20" ht="15.75" x14ac:dyDescent="0.25">
      <c r="A28" s="137">
        <v>2016</v>
      </c>
      <c r="B28" s="135">
        <v>7</v>
      </c>
      <c r="C28" s="136">
        <v>373506</v>
      </c>
      <c r="D28" s="136">
        <v>240632</v>
      </c>
      <c r="E28" s="136">
        <v>614138</v>
      </c>
      <c r="F28" s="136">
        <v>148004</v>
      </c>
      <c r="G28" s="136">
        <v>105116</v>
      </c>
      <c r="H28" s="136">
        <v>253120</v>
      </c>
      <c r="I28" s="136">
        <v>117348</v>
      </c>
      <c r="J28" s="136">
        <v>65224</v>
      </c>
      <c r="K28" s="136">
        <v>182572</v>
      </c>
      <c r="L28" s="136">
        <v>47203</v>
      </c>
      <c r="M28" s="136">
        <v>28752</v>
      </c>
      <c r="N28" s="136">
        <v>75955</v>
      </c>
      <c r="O28" s="136">
        <v>52907</v>
      </c>
      <c r="P28" s="136">
        <v>38349</v>
      </c>
      <c r="Q28" s="136">
        <v>91256</v>
      </c>
      <c r="R28" s="136">
        <v>20222</v>
      </c>
      <c r="S28" s="136">
        <v>14997</v>
      </c>
      <c r="T28" s="136">
        <v>35219</v>
      </c>
    </row>
    <row r="29" spans="1:20" ht="15.75" x14ac:dyDescent="0.25">
      <c r="A29" s="137">
        <v>2017</v>
      </c>
      <c r="B29" s="135">
        <v>7</v>
      </c>
      <c r="C29" s="136">
        <f>+'[2]Open Board'!C15</f>
        <v>416151</v>
      </c>
      <c r="D29" s="136">
        <f>+'[2]Open Board'!D15</f>
        <v>230386</v>
      </c>
      <c r="E29" s="136">
        <f>+'[2]Open Board'!E15</f>
        <v>646537</v>
      </c>
      <c r="F29" s="136">
        <f>+'[2]Open Board'!F15</f>
        <v>153640</v>
      </c>
      <c r="G29" s="136">
        <f>+'[2]Open Board'!G15</f>
        <v>97756</v>
      </c>
      <c r="H29" s="136">
        <f>+'[2]Open Board'!H15</f>
        <v>251396</v>
      </c>
      <c r="I29" s="136">
        <f>+'[2]Open Board'!I15</f>
        <v>62764</v>
      </c>
      <c r="J29" s="136">
        <f>+'[2]Open Board'!J15</f>
        <v>36693</v>
      </c>
      <c r="K29" s="136">
        <f>+'[2]Open Board'!K15</f>
        <v>99457</v>
      </c>
      <c r="L29" s="136">
        <f>+'[2]Open Board'!L15</f>
        <v>22025</v>
      </c>
      <c r="M29" s="136">
        <f>+'[2]Open Board'!M15</f>
        <v>15076</v>
      </c>
      <c r="N29" s="136">
        <f>+'[2]Open Board'!N15</f>
        <v>37101</v>
      </c>
      <c r="O29" s="136">
        <f>+'[2]Open Board'!O15</f>
        <v>43692</v>
      </c>
      <c r="P29" s="136">
        <f>+'[2]Open Board'!P15</f>
        <v>36302</v>
      </c>
      <c r="Q29" s="136">
        <f>+'[2]Open Board'!Q15</f>
        <v>79994</v>
      </c>
      <c r="R29" s="136">
        <f>+'[2]Open Board'!R15</f>
        <v>17229</v>
      </c>
      <c r="S29" s="136">
        <f>+'[2]Open Board'!S15</f>
        <v>15876</v>
      </c>
      <c r="T29" s="136">
        <f>+'[2]Open Board'!T15</f>
        <v>33105</v>
      </c>
    </row>
    <row r="30" spans="1:20" ht="15.75" x14ac:dyDescent="0.25">
      <c r="B30" s="142"/>
    </row>
    <row r="31" spans="1:20" ht="18" x14ac:dyDescent="0.25">
      <c r="A31" s="130"/>
      <c r="B31" s="142"/>
      <c r="C31" s="131" t="s">
        <v>331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 t="str">
        <f>+C31</f>
        <v>Table 13 - SECONDARY EXAMINATION RESULTS DURING 2010 - 2017 (ALL BOARDS)</v>
      </c>
      <c r="P31" s="131"/>
      <c r="Q31" s="131"/>
      <c r="R31" s="131"/>
      <c r="S31" s="131"/>
      <c r="T31" s="131"/>
    </row>
    <row r="32" spans="1:20" ht="15" customHeight="1" x14ac:dyDescent="0.25">
      <c r="A32" s="484" t="s">
        <v>218</v>
      </c>
      <c r="B32" s="524" t="s">
        <v>327</v>
      </c>
      <c r="C32" s="484" t="s">
        <v>188</v>
      </c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 t="s">
        <v>188</v>
      </c>
      <c r="P32" s="484"/>
      <c r="Q32" s="484"/>
      <c r="R32" s="484"/>
      <c r="S32" s="484"/>
      <c r="T32" s="484"/>
    </row>
    <row r="33" spans="1:20" x14ac:dyDescent="0.25">
      <c r="A33" s="484"/>
      <c r="B33" s="525"/>
      <c r="C33" s="484" t="s">
        <v>219</v>
      </c>
      <c r="D33" s="484"/>
      <c r="E33" s="484"/>
      <c r="F33" s="484"/>
      <c r="G33" s="484"/>
      <c r="H33" s="484"/>
      <c r="I33" s="484" t="s">
        <v>220</v>
      </c>
      <c r="J33" s="484"/>
      <c r="K33" s="484"/>
      <c r="L33" s="484"/>
      <c r="M33" s="484"/>
      <c r="N33" s="484"/>
      <c r="O33" s="484" t="s">
        <v>221</v>
      </c>
      <c r="P33" s="484"/>
      <c r="Q33" s="484"/>
      <c r="R33" s="484"/>
      <c r="S33" s="484"/>
      <c r="T33" s="484"/>
    </row>
    <row r="34" spans="1:20" x14ac:dyDescent="0.25">
      <c r="A34" s="484"/>
      <c r="B34" s="525"/>
      <c r="C34" s="484" t="s">
        <v>5</v>
      </c>
      <c r="D34" s="484"/>
      <c r="E34" s="484"/>
      <c r="F34" s="484" t="s">
        <v>6</v>
      </c>
      <c r="G34" s="484"/>
      <c r="H34" s="484"/>
      <c r="I34" s="484" t="s">
        <v>5</v>
      </c>
      <c r="J34" s="484"/>
      <c r="K34" s="484"/>
      <c r="L34" s="484" t="s">
        <v>6</v>
      </c>
      <c r="M34" s="484"/>
      <c r="N34" s="484"/>
      <c r="O34" s="484" t="s">
        <v>5</v>
      </c>
      <c r="P34" s="484"/>
      <c r="Q34" s="484"/>
      <c r="R34" s="484" t="s">
        <v>6</v>
      </c>
      <c r="S34" s="484"/>
      <c r="T34" s="484"/>
    </row>
    <row r="35" spans="1:20" x14ac:dyDescent="0.25">
      <c r="A35" s="484"/>
      <c r="B35" s="525"/>
      <c r="C35" s="366" t="s">
        <v>43</v>
      </c>
      <c r="D35" s="366" t="s">
        <v>44</v>
      </c>
      <c r="E35" s="366" t="s">
        <v>3</v>
      </c>
      <c r="F35" s="366" t="s">
        <v>43</v>
      </c>
      <c r="G35" s="366" t="s">
        <v>44</v>
      </c>
      <c r="H35" s="366" t="s">
        <v>3</v>
      </c>
      <c r="I35" s="366" t="s">
        <v>43</v>
      </c>
      <c r="J35" s="366" t="s">
        <v>44</v>
      </c>
      <c r="K35" s="366" t="s">
        <v>3</v>
      </c>
      <c r="L35" s="366" t="s">
        <v>43</v>
      </c>
      <c r="M35" s="366" t="s">
        <v>44</v>
      </c>
      <c r="N35" s="366" t="s">
        <v>3</v>
      </c>
      <c r="O35" s="366" t="s">
        <v>43</v>
      </c>
      <c r="P35" s="366" t="s">
        <v>44</v>
      </c>
      <c r="Q35" s="366" t="s">
        <v>3</v>
      </c>
      <c r="R35" s="366" t="s">
        <v>43</v>
      </c>
      <c r="S35" s="366" t="s">
        <v>44</v>
      </c>
      <c r="T35" s="366" t="s">
        <v>3</v>
      </c>
    </row>
    <row r="36" spans="1:20" x14ac:dyDescent="0.25">
      <c r="A36" s="133">
        <v>1</v>
      </c>
      <c r="B36" s="133">
        <v>2</v>
      </c>
      <c r="C36" s="133">
        <v>3</v>
      </c>
      <c r="D36" s="133">
        <v>4</v>
      </c>
      <c r="E36" s="133">
        <v>5</v>
      </c>
      <c r="F36" s="133">
        <v>6</v>
      </c>
      <c r="G36" s="133">
        <v>7</v>
      </c>
      <c r="H36" s="133">
        <v>8</v>
      </c>
      <c r="I36" s="133">
        <v>9</v>
      </c>
      <c r="J36" s="133">
        <v>10</v>
      </c>
      <c r="K36" s="133">
        <v>11</v>
      </c>
      <c r="L36" s="133">
        <v>12</v>
      </c>
      <c r="M36" s="133">
        <v>13</v>
      </c>
      <c r="N36" s="133">
        <v>14</v>
      </c>
      <c r="O36" s="133">
        <v>15</v>
      </c>
      <c r="P36" s="133">
        <v>16</v>
      </c>
      <c r="Q36" s="133">
        <v>17</v>
      </c>
      <c r="R36" s="133">
        <v>18</v>
      </c>
      <c r="S36" s="133">
        <v>19</v>
      </c>
      <c r="T36" s="133">
        <v>20</v>
      </c>
    </row>
    <row r="37" spans="1:20" ht="15.75" x14ac:dyDescent="0.25">
      <c r="A37" s="134">
        <v>2010</v>
      </c>
      <c r="B37" s="135">
        <f t="shared" ref="B37:T44" si="3">+B7+B22</f>
        <v>40</v>
      </c>
      <c r="C37" s="136">
        <f t="shared" si="3"/>
        <v>9684041</v>
      </c>
      <c r="D37" s="136">
        <f t="shared" si="3"/>
        <v>7565925</v>
      </c>
      <c r="E37" s="136">
        <f t="shared" si="3"/>
        <v>17249966</v>
      </c>
      <c r="F37" s="136">
        <f t="shared" si="3"/>
        <v>7029237</v>
      </c>
      <c r="G37" s="136">
        <f t="shared" si="3"/>
        <v>5793147</v>
      </c>
      <c r="H37" s="136">
        <f t="shared" si="3"/>
        <v>12822384</v>
      </c>
      <c r="I37" s="136">
        <f t="shared" si="3"/>
        <v>1562519</v>
      </c>
      <c r="J37" s="136">
        <f t="shared" si="3"/>
        <v>1197413</v>
      </c>
      <c r="K37" s="136">
        <f t="shared" si="3"/>
        <v>2759932</v>
      </c>
      <c r="L37" s="136">
        <f t="shared" si="3"/>
        <v>1043901</v>
      </c>
      <c r="M37" s="136">
        <f t="shared" si="3"/>
        <v>847979</v>
      </c>
      <c r="N37" s="136">
        <f t="shared" si="3"/>
        <v>1891880</v>
      </c>
      <c r="O37" s="136">
        <f t="shared" si="3"/>
        <v>643452</v>
      </c>
      <c r="P37" s="136">
        <f t="shared" si="3"/>
        <v>502036</v>
      </c>
      <c r="Q37" s="136">
        <f t="shared" si="3"/>
        <v>1145488</v>
      </c>
      <c r="R37" s="136">
        <f t="shared" si="3"/>
        <v>396628</v>
      </c>
      <c r="S37" s="136">
        <f t="shared" si="3"/>
        <v>305158</v>
      </c>
      <c r="T37" s="136">
        <f t="shared" si="3"/>
        <v>701786</v>
      </c>
    </row>
    <row r="38" spans="1:20" ht="15.75" x14ac:dyDescent="0.25">
      <c r="A38" s="137">
        <v>2011</v>
      </c>
      <c r="B38" s="135">
        <f t="shared" si="3"/>
        <v>40</v>
      </c>
      <c r="C38" s="136">
        <f t="shared" si="3"/>
        <v>10118563</v>
      </c>
      <c r="D38" s="136">
        <f t="shared" si="3"/>
        <v>8037937</v>
      </c>
      <c r="E38" s="136">
        <f t="shared" si="3"/>
        <v>18161271</v>
      </c>
      <c r="F38" s="136">
        <f t="shared" si="3"/>
        <v>7371246</v>
      </c>
      <c r="G38" s="136">
        <f t="shared" si="3"/>
        <v>6131148</v>
      </c>
      <c r="H38" s="136">
        <f t="shared" si="3"/>
        <v>13504606</v>
      </c>
      <c r="I38" s="136">
        <f t="shared" si="3"/>
        <v>1742153</v>
      </c>
      <c r="J38" s="136">
        <f t="shared" si="3"/>
        <v>1413230</v>
      </c>
      <c r="K38" s="136">
        <f t="shared" si="3"/>
        <v>3155383</v>
      </c>
      <c r="L38" s="136">
        <f t="shared" si="3"/>
        <v>1181106</v>
      </c>
      <c r="M38" s="136">
        <f t="shared" si="3"/>
        <v>996222</v>
      </c>
      <c r="N38" s="136">
        <f t="shared" si="3"/>
        <v>2177328</v>
      </c>
      <c r="O38" s="136">
        <f t="shared" si="3"/>
        <v>698190</v>
      </c>
      <c r="P38" s="136">
        <f t="shared" si="3"/>
        <v>562449</v>
      </c>
      <c r="Q38" s="136">
        <f t="shared" si="3"/>
        <v>1260639</v>
      </c>
      <c r="R38" s="136">
        <f t="shared" si="3"/>
        <v>438353</v>
      </c>
      <c r="S38" s="136">
        <f t="shared" si="3"/>
        <v>349358</v>
      </c>
      <c r="T38" s="136">
        <f t="shared" si="3"/>
        <v>787711</v>
      </c>
    </row>
    <row r="39" spans="1:20" ht="15.75" x14ac:dyDescent="0.25">
      <c r="A39" s="134">
        <v>2012</v>
      </c>
      <c r="B39" s="135">
        <f t="shared" si="3"/>
        <v>40</v>
      </c>
      <c r="C39" s="136">
        <f t="shared" si="3"/>
        <v>10287144</v>
      </c>
      <c r="D39" s="136">
        <f t="shared" si="3"/>
        <v>8287633</v>
      </c>
      <c r="E39" s="136">
        <f t="shared" si="3"/>
        <v>18574777</v>
      </c>
      <c r="F39" s="136">
        <f t="shared" si="3"/>
        <v>7648530</v>
      </c>
      <c r="G39" s="136">
        <f t="shared" si="3"/>
        <v>6462590</v>
      </c>
      <c r="H39" s="136">
        <f t="shared" si="3"/>
        <v>14111120</v>
      </c>
      <c r="I39" s="136">
        <f t="shared" si="3"/>
        <v>1653275</v>
      </c>
      <c r="J39" s="136">
        <f t="shared" si="3"/>
        <v>1315217</v>
      </c>
      <c r="K39" s="136">
        <f t="shared" si="3"/>
        <v>2968492</v>
      </c>
      <c r="L39" s="136">
        <f t="shared" si="3"/>
        <v>1132109</v>
      </c>
      <c r="M39" s="136">
        <f t="shared" si="3"/>
        <v>950433</v>
      </c>
      <c r="N39" s="136">
        <f t="shared" si="3"/>
        <v>2082542</v>
      </c>
      <c r="O39" s="136">
        <f t="shared" si="3"/>
        <v>677858</v>
      </c>
      <c r="P39" s="136">
        <f t="shared" si="3"/>
        <v>575279</v>
      </c>
      <c r="Q39" s="136">
        <f t="shared" si="3"/>
        <v>1253137</v>
      </c>
      <c r="R39" s="136">
        <f t="shared" si="3"/>
        <v>416962</v>
      </c>
      <c r="S39" s="136">
        <f t="shared" si="3"/>
        <v>352776</v>
      </c>
      <c r="T39" s="136">
        <f t="shared" si="3"/>
        <v>769738</v>
      </c>
    </row>
    <row r="40" spans="1:20" ht="15.75" x14ac:dyDescent="0.25">
      <c r="A40" s="137">
        <v>2013</v>
      </c>
      <c r="B40" s="135">
        <f t="shared" si="3"/>
        <v>41</v>
      </c>
      <c r="C40" s="136">
        <v>10904655</v>
      </c>
      <c r="D40" s="136">
        <v>8829960</v>
      </c>
      <c r="E40" s="136">
        <v>19734615</v>
      </c>
      <c r="F40" s="136">
        <v>8257716</v>
      </c>
      <c r="G40" s="136">
        <v>7061772</v>
      </c>
      <c r="H40" s="136">
        <v>15319488</v>
      </c>
      <c r="I40" s="136">
        <v>1825760</v>
      </c>
      <c r="J40" s="136">
        <v>1489446</v>
      </c>
      <c r="K40" s="136">
        <v>3315206</v>
      </c>
      <c r="L40" s="136">
        <v>1265090</v>
      </c>
      <c r="M40" s="136">
        <v>1093073</v>
      </c>
      <c r="N40" s="136">
        <v>2358163</v>
      </c>
      <c r="O40" s="136">
        <v>787070</v>
      </c>
      <c r="P40" s="136">
        <v>691945</v>
      </c>
      <c r="Q40" s="136">
        <v>1479015</v>
      </c>
      <c r="R40" s="136">
        <v>502983</v>
      </c>
      <c r="S40" s="136">
        <v>446062</v>
      </c>
      <c r="T40" s="136">
        <v>949045</v>
      </c>
    </row>
    <row r="41" spans="1:20" ht="15.75" x14ac:dyDescent="0.25">
      <c r="A41" s="137">
        <v>2014</v>
      </c>
      <c r="B41" s="135">
        <f t="shared" si="3"/>
        <v>41</v>
      </c>
      <c r="C41" s="136">
        <v>10601867</v>
      </c>
      <c r="D41" s="136">
        <v>8864399</v>
      </c>
      <c r="E41" s="136">
        <v>19466266</v>
      </c>
      <c r="F41" s="136">
        <v>8221455</v>
      </c>
      <c r="G41" s="136">
        <v>7171919</v>
      </c>
      <c r="H41" s="136">
        <v>15393374</v>
      </c>
      <c r="I41" s="136">
        <v>1808730</v>
      </c>
      <c r="J41" s="136">
        <v>1518501</v>
      </c>
      <c r="K41" s="136">
        <v>3327231</v>
      </c>
      <c r="L41" s="136">
        <v>1294748</v>
      </c>
      <c r="M41" s="136">
        <v>1142190</v>
      </c>
      <c r="N41" s="136">
        <v>2436938</v>
      </c>
      <c r="O41" s="136">
        <v>801513</v>
      </c>
      <c r="P41" s="136">
        <v>735177</v>
      </c>
      <c r="Q41" s="136">
        <v>1536690</v>
      </c>
      <c r="R41" s="136">
        <v>522123</v>
      </c>
      <c r="S41" s="136">
        <v>469796</v>
      </c>
      <c r="T41" s="136">
        <v>991919</v>
      </c>
    </row>
    <row r="42" spans="1:20" ht="15.75" x14ac:dyDescent="0.25">
      <c r="A42" s="137">
        <v>2015</v>
      </c>
      <c r="B42" s="135">
        <f t="shared" si="3"/>
        <v>41</v>
      </c>
      <c r="C42" s="136">
        <v>10292567</v>
      </c>
      <c r="D42" s="136">
        <v>8865570</v>
      </c>
      <c r="E42" s="136">
        <v>19158137</v>
      </c>
      <c r="F42" s="136">
        <v>7968166</v>
      </c>
      <c r="G42" s="136">
        <v>7136789</v>
      </c>
      <c r="H42" s="136">
        <v>15104955</v>
      </c>
      <c r="I42" s="136">
        <v>1762729</v>
      </c>
      <c r="J42" s="136">
        <v>1519038</v>
      </c>
      <c r="K42" s="136">
        <v>3281767</v>
      </c>
      <c r="L42" s="136">
        <v>1266714</v>
      </c>
      <c r="M42" s="136">
        <v>1136130</v>
      </c>
      <c r="N42" s="136">
        <v>2402844</v>
      </c>
      <c r="O42" s="136">
        <v>783988</v>
      </c>
      <c r="P42" s="136">
        <v>736790</v>
      </c>
      <c r="Q42" s="136">
        <v>1521109</v>
      </c>
      <c r="R42" s="136">
        <v>509950</v>
      </c>
      <c r="S42" s="136">
        <v>466163</v>
      </c>
      <c r="T42" s="136">
        <v>976113</v>
      </c>
    </row>
    <row r="43" spans="1:20" ht="15.75" x14ac:dyDescent="0.25">
      <c r="A43" s="137">
        <v>2016</v>
      </c>
      <c r="B43" s="135">
        <f t="shared" si="3"/>
        <v>49</v>
      </c>
      <c r="C43" s="136">
        <f t="shared" si="3"/>
        <v>10820446</v>
      </c>
      <c r="D43" s="136">
        <f t="shared" si="3"/>
        <v>9189510</v>
      </c>
      <c r="E43" s="136">
        <f t="shared" si="3"/>
        <v>20009956</v>
      </c>
      <c r="F43" s="136">
        <f t="shared" si="3"/>
        <v>8266497</v>
      </c>
      <c r="G43" s="136">
        <f t="shared" si="3"/>
        <v>7245671</v>
      </c>
      <c r="H43" s="136">
        <f t="shared" si="3"/>
        <v>15512168</v>
      </c>
      <c r="I43" s="136">
        <f t="shared" si="3"/>
        <v>1958214</v>
      </c>
      <c r="J43" s="136">
        <f t="shared" si="3"/>
        <v>1656040</v>
      </c>
      <c r="K43" s="136">
        <f t="shared" si="3"/>
        <v>3614254</v>
      </c>
      <c r="L43" s="136">
        <f t="shared" si="3"/>
        <v>1371876</v>
      </c>
      <c r="M43" s="136">
        <f t="shared" si="3"/>
        <v>1215805</v>
      </c>
      <c r="N43" s="136">
        <f t="shared" si="3"/>
        <v>2587681</v>
      </c>
      <c r="O43" s="136">
        <f t="shared" si="3"/>
        <v>832040</v>
      </c>
      <c r="P43" s="136">
        <f t="shared" si="3"/>
        <v>773005</v>
      </c>
      <c r="Q43" s="136">
        <f t="shared" si="3"/>
        <v>1605045</v>
      </c>
      <c r="R43" s="136">
        <f t="shared" si="3"/>
        <v>527895</v>
      </c>
      <c r="S43" s="136">
        <f t="shared" si="3"/>
        <v>491874</v>
      </c>
      <c r="T43" s="136">
        <f t="shared" si="3"/>
        <v>1019769</v>
      </c>
    </row>
    <row r="44" spans="1:20" ht="15.75" x14ac:dyDescent="0.25">
      <c r="A44" s="137">
        <v>2017</v>
      </c>
      <c r="B44" s="135">
        <f t="shared" si="3"/>
        <v>48</v>
      </c>
      <c r="C44" s="136">
        <f t="shared" si="3"/>
        <v>10756569</v>
      </c>
      <c r="D44" s="136">
        <f t="shared" si="3"/>
        <v>9204359</v>
      </c>
      <c r="E44" s="136">
        <f t="shared" si="3"/>
        <v>19960928</v>
      </c>
      <c r="F44" s="136">
        <f t="shared" si="3"/>
        <v>8026255</v>
      </c>
      <c r="G44" s="136">
        <f t="shared" si="3"/>
        <v>7102220</v>
      </c>
      <c r="H44" s="136">
        <f t="shared" si="3"/>
        <v>15128475</v>
      </c>
      <c r="I44" s="136">
        <f t="shared" si="3"/>
        <v>1881032</v>
      </c>
      <c r="J44" s="136">
        <f t="shared" si="3"/>
        <v>1651729</v>
      </c>
      <c r="K44" s="136">
        <f t="shared" si="3"/>
        <v>3532761</v>
      </c>
      <c r="L44" s="136">
        <f t="shared" si="3"/>
        <v>1292094</v>
      </c>
      <c r="M44" s="136">
        <f t="shared" si="3"/>
        <v>1177529</v>
      </c>
      <c r="N44" s="136">
        <f t="shared" si="3"/>
        <v>2469623</v>
      </c>
      <c r="O44" s="136">
        <f t="shared" si="3"/>
        <v>805553</v>
      </c>
      <c r="P44" s="136">
        <f t="shared" si="3"/>
        <v>772121</v>
      </c>
      <c r="Q44" s="136">
        <f t="shared" si="3"/>
        <v>1577674</v>
      </c>
      <c r="R44" s="136">
        <f t="shared" si="3"/>
        <v>527644</v>
      </c>
      <c r="S44" s="136">
        <f t="shared" si="3"/>
        <v>509156</v>
      </c>
      <c r="T44" s="136">
        <f t="shared" si="3"/>
        <v>1036800</v>
      </c>
    </row>
  </sheetData>
  <mergeCells count="39">
    <mergeCell ref="L34:N34"/>
    <mergeCell ref="O34:Q34"/>
    <mergeCell ref="R34:T34"/>
    <mergeCell ref="A32:A35"/>
    <mergeCell ref="B32:B35"/>
    <mergeCell ref="C32:N32"/>
    <mergeCell ref="O32:T32"/>
    <mergeCell ref="C33:H33"/>
    <mergeCell ref="I33:N33"/>
    <mergeCell ref="O33:T33"/>
    <mergeCell ref="C34:E34"/>
    <mergeCell ref="F34:H34"/>
    <mergeCell ref="I34:K34"/>
    <mergeCell ref="C19:E19"/>
    <mergeCell ref="F19:H19"/>
    <mergeCell ref="I19:K19"/>
    <mergeCell ref="L19:N19"/>
    <mergeCell ref="O19:Q19"/>
    <mergeCell ref="R19:T19"/>
    <mergeCell ref="L4:N4"/>
    <mergeCell ref="O4:Q4"/>
    <mergeCell ref="R4:T4"/>
    <mergeCell ref="A17:A20"/>
    <mergeCell ref="B17:B20"/>
    <mergeCell ref="C17:N17"/>
    <mergeCell ref="O17:T17"/>
    <mergeCell ref="C18:H18"/>
    <mergeCell ref="I18:N18"/>
    <mergeCell ref="O18:T18"/>
    <mergeCell ref="A2:A5"/>
    <mergeCell ref="B2:B5"/>
    <mergeCell ref="C2:N2"/>
    <mergeCell ref="O2:T2"/>
    <mergeCell ref="C3:H3"/>
    <mergeCell ref="I3:N3"/>
    <mergeCell ref="O3:T3"/>
    <mergeCell ref="C4:E4"/>
    <mergeCell ref="F4:H4"/>
    <mergeCell ref="I4:K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3"/>
  <sheetViews>
    <sheetView view="pageBreakPreview" topLeftCell="A44" zoomScale="85" zoomScaleSheetLayoutView="85" workbookViewId="0">
      <selection activeCell="B51" sqref="B51"/>
    </sheetView>
  </sheetViews>
  <sheetFormatPr defaultRowHeight="15" x14ac:dyDescent="0.25"/>
  <cols>
    <col min="2" max="2" width="35.140625" customWidth="1"/>
    <col min="3" max="3" width="13" customWidth="1"/>
    <col min="4" max="4" width="10.28515625" bestFit="1" customWidth="1"/>
    <col min="5" max="5" width="11.5703125" bestFit="1" customWidth="1"/>
    <col min="6" max="7" width="10.28515625" bestFit="1" customWidth="1"/>
    <col min="8" max="8" width="11.5703125" bestFit="1" customWidth="1"/>
    <col min="12" max="13" width="10.28515625" bestFit="1" customWidth="1"/>
    <col min="14" max="14" width="11.5703125" bestFit="1" customWidth="1"/>
    <col min="18" max="18" width="12.140625" customWidth="1"/>
    <col min="19" max="19" width="10.28515625" bestFit="1" customWidth="1"/>
    <col min="20" max="20" width="11.5703125" bestFit="1" customWidth="1"/>
    <col min="21" max="26" width="10.28515625" bestFit="1" customWidth="1"/>
  </cols>
  <sheetData>
    <row r="1" spans="1:32" ht="18" customHeight="1" x14ac:dyDescent="0.25">
      <c r="A1" s="144"/>
      <c r="B1" s="163"/>
      <c r="C1" s="510" t="s">
        <v>328</v>
      </c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157" t="str">
        <f>C1</f>
        <v>RESULTS OF SECONDARY EXAMINATION- 2016</v>
      </c>
      <c r="S1" s="157"/>
      <c r="T1" s="157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</row>
    <row r="2" spans="1:32" ht="15.75" customHeight="1" x14ac:dyDescent="0.25">
      <c r="A2" s="164"/>
      <c r="B2" s="165"/>
      <c r="C2" s="512" t="s">
        <v>334</v>
      </c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146" t="s">
        <v>335</v>
      </c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</row>
    <row r="3" spans="1:32" ht="15" customHeight="1" x14ac:dyDescent="0.25">
      <c r="A3" s="484" t="s">
        <v>192</v>
      </c>
      <c r="B3" s="482" t="s">
        <v>42</v>
      </c>
      <c r="C3" s="482" t="s">
        <v>188</v>
      </c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 t="s">
        <v>189</v>
      </c>
      <c r="P3" s="482"/>
      <c r="Q3" s="482"/>
      <c r="R3" s="533" t="s">
        <v>193</v>
      </c>
      <c r="S3" s="534"/>
      <c r="T3" s="535"/>
      <c r="U3" s="533" t="s">
        <v>194</v>
      </c>
      <c r="V3" s="534"/>
      <c r="W3" s="534"/>
      <c r="X3" s="534"/>
      <c r="Y3" s="534"/>
      <c r="Z3" s="535"/>
      <c r="AA3" s="533" t="s">
        <v>195</v>
      </c>
      <c r="AB3" s="534"/>
      <c r="AC3" s="534"/>
      <c r="AD3" s="534"/>
      <c r="AE3" s="534"/>
      <c r="AF3" s="535"/>
    </row>
    <row r="4" spans="1:32" x14ac:dyDescent="0.25">
      <c r="A4" s="484"/>
      <c r="B4" s="482"/>
      <c r="C4" s="482" t="s">
        <v>5</v>
      </c>
      <c r="D4" s="482"/>
      <c r="E4" s="482"/>
      <c r="F4" s="482" t="s">
        <v>6</v>
      </c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536"/>
      <c r="S4" s="537"/>
      <c r="T4" s="538"/>
      <c r="U4" s="539"/>
      <c r="V4" s="540"/>
      <c r="W4" s="540"/>
      <c r="X4" s="540"/>
      <c r="Y4" s="540"/>
      <c r="Z4" s="541"/>
      <c r="AA4" s="539"/>
      <c r="AB4" s="540"/>
      <c r="AC4" s="540"/>
      <c r="AD4" s="540"/>
      <c r="AE4" s="540"/>
      <c r="AF4" s="541"/>
    </row>
    <row r="5" spans="1:32" ht="15" customHeight="1" x14ac:dyDescent="0.25">
      <c r="A5" s="484"/>
      <c r="B5" s="482"/>
      <c r="C5" s="482"/>
      <c r="D5" s="482"/>
      <c r="E5" s="482"/>
      <c r="F5" s="482" t="s">
        <v>51</v>
      </c>
      <c r="G5" s="482"/>
      <c r="H5" s="482"/>
      <c r="I5" s="482" t="s">
        <v>190</v>
      </c>
      <c r="J5" s="482"/>
      <c r="K5" s="482"/>
      <c r="L5" s="482" t="s">
        <v>191</v>
      </c>
      <c r="M5" s="482"/>
      <c r="N5" s="482"/>
      <c r="O5" s="482"/>
      <c r="P5" s="482"/>
      <c r="Q5" s="482"/>
      <c r="R5" s="539"/>
      <c r="S5" s="540"/>
      <c r="T5" s="541"/>
      <c r="U5" s="542" t="s">
        <v>229</v>
      </c>
      <c r="V5" s="543"/>
      <c r="W5" s="544"/>
      <c r="X5" s="542" t="s">
        <v>230</v>
      </c>
      <c r="Y5" s="543"/>
      <c r="Z5" s="544"/>
      <c r="AA5" s="542" t="s">
        <v>229</v>
      </c>
      <c r="AB5" s="543"/>
      <c r="AC5" s="544"/>
      <c r="AD5" s="542" t="s">
        <v>230</v>
      </c>
      <c r="AE5" s="543"/>
      <c r="AF5" s="544"/>
    </row>
    <row r="6" spans="1:32" x14ac:dyDescent="0.25">
      <c r="A6" s="484"/>
      <c r="B6" s="482"/>
      <c r="C6" s="158" t="s">
        <v>43</v>
      </c>
      <c r="D6" s="158" t="s">
        <v>44</v>
      </c>
      <c r="E6" s="158" t="s">
        <v>3</v>
      </c>
      <c r="F6" s="158" t="s">
        <v>43</v>
      </c>
      <c r="G6" s="158" t="s">
        <v>44</v>
      </c>
      <c r="H6" s="158" t="s">
        <v>3</v>
      </c>
      <c r="I6" s="158" t="s">
        <v>43</v>
      </c>
      <c r="J6" s="158" t="s">
        <v>44</v>
      </c>
      <c r="K6" s="158" t="s">
        <v>3</v>
      </c>
      <c r="L6" s="158" t="s">
        <v>43</v>
      </c>
      <c r="M6" s="158" t="s">
        <v>44</v>
      </c>
      <c r="N6" s="158" t="s">
        <v>3</v>
      </c>
      <c r="O6" s="158" t="s">
        <v>43</v>
      </c>
      <c r="P6" s="158" t="s">
        <v>44</v>
      </c>
      <c r="Q6" s="158" t="s">
        <v>3</v>
      </c>
      <c r="R6" s="158" t="s">
        <v>43</v>
      </c>
      <c r="S6" s="158" t="s">
        <v>44</v>
      </c>
      <c r="T6" s="158" t="s">
        <v>3</v>
      </c>
      <c r="U6" s="158" t="s">
        <v>43</v>
      </c>
      <c r="V6" s="158" t="s">
        <v>44</v>
      </c>
      <c r="W6" s="158" t="s">
        <v>3</v>
      </c>
      <c r="X6" s="158" t="s">
        <v>43</v>
      </c>
      <c r="Y6" s="158" t="s">
        <v>44</v>
      </c>
      <c r="Z6" s="158" t="s">
        <v>3</v>
      </c>
      <c r="AA6" s="158" t="s">
        <v>43</v>
      </c>
      <c r="AB6" s="158" t="s">
        <v>44</v>
      </c>
      <c r="AC6" s="158" t="s">
        <v>3</v>
      </c>
      <c r="AD6" s="158" t="s">
        <v>43</v>
      </c>
      <c r="AE6" s="158" t="s">
        <v>44</v>
      </c>
      <c r="AF6" s="158" t="s">
        <v>3</v>
      </c>
    </row>
    <row r="7" spans="1:32" x14ac:dyDescent="0.25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8">
        <v>3</v>
      </c>
      <c r="S7" s="78">
        <v>4</v>
      </c>
      <c r="T7" s="78">
        <v>5</v>
      </c>
      <c r="U7" s="78">
        <v>6</v>
      </c>
      <c r="V7" s="78">
        <v>7</v>
      </c>
      <c r="W7" s="78">
        <v>8</v>
      </c>
      <c r="X7" s="78">
        <v>9</v>
      </c>
      <c r="Y7" s="78">
        <v>10</v>
      </c>
      <c r="Z7" s="78">
        <v>11</v>
      </c>
      <c r="AA7" s="78">
        <v>12</v>
      </c>
      <c r="AB7" s="78">
        <v>13</v>
      </c>
      <c r="AC7" s="78">
        <v>14</v>
      </c>
      <c r="AD7" s="78">
        <v>15</v>
      </c>
      <c r="AE7" s="78">
        <v>16</v>
      </c>
      <c r="AF7" s="78">
        <v>17</v>
      </c>
    </row>
    <row r="8" spans="1:32" x14ac:dyDescent="0.25">
      <c r="A8" s="506" t="s">
        <v>216</v>
      </c>
      <c r="B8" s="506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29"/>
      <c r="S8" s="530"/>
      <c r="T8" s="530"/>
      <c r="U8" s="530"/>
      <c r="V8" s="530"/>
      <c r="W8" s="530"/>
      <c r="X8" s="530"/>
      <c r="Y8" s="530"/>
      <c r="Z8" s="530"/>
      <c r="AA8" s="530"/>
      <c r="AB8" s="530"/>
      <c r="AC8" s="530"/>
      <c r="AD8" s="530"/>
      <c r="AE8" s="530"/>
      <c r="AF8" s="531"/>
    </row>
    <row r="9" spans="1:32" ht="28.5" x14ac:dyDescent="0.25">
      <c r="A9" s="166">
        <v>1</v>
      </c>
      <c r="B9" s="43" t="s">
        <v>143</v>
      </c>
      <c r="C9" s="170">
        <v>890173</v>
      </c>
      <c r="D9" s="170">
        <v>605571</v>
      </c>
      <c r="E9" s="170">
        <v>1495744</v>
      </c>
      <c r="F9" s="170">
        <v>851911</v>
      </c>
      <c r="G9" s="170">
        <v>580251</v>
      </c>
      <c r="H9" s="170">
        <v>1432162</v>
      </c>
      <c r="I9" s="170">
        <v>10360</v>
      </c>
      <c r="J9" s="170">
        <v>6615</v>
      </c>
      <c r="K9" s="170">
        <v>16975</v>
      </c>
      <c r="L9" s="167">
        <v>862271</v>
      </c>
      <c r="M9" s="167">
        <v>586866</v>
      </c>
      <c r="N9" s="167">
        <v>1449137</v>
      </c>
      <c r="O9" s="171">
        <v>96.865553100352415</v>
      </c>
      <c r="P9" s="171">
        <v>96.911179696517834</v>
      </c>
      <c r="Q9" s="171">
        <v>96.884025608660309</v>
      </c>
      <c r="R9" s="172">
        <f t="shared" ref="R9:T10" si="0">L9</f>
        <v>862271</v>
      </c>
      <c r="S9" s="172">
        <f t="shared" si="0"/>
        <v>586866</v>
      </c>
      <c r="T9" s="172">
        <f t="shared" si="0"/>
        <v>1449137</v>
      </c>
      <c r="U9" s="173"/>
      <c r="V9" s="173"/>
      <c r="W9" s="173"/>
      <c r="X9" s="173"/>
      <c r="Y9" s="173"/>
      <c r="Z9" s="173"/>
      <c r="AA9" s="174"/>
      <c r="AB9" s="174"/>
      <c r="AC9" s="174"/>
      <c r="AD9" s="175"/>
      <c r="AE9" s="175"/>
      <c r="AF9" s="175"/>
    </row>
    <row r="10" spans="1:32" ht="28.5" x14ac:dyDescent="0.25">
      <c r="A10" s="166">
        <v>2</v>
      </c>
      <c r="B10" s="43" t="s">
        <v>231</v>
      </c>
      <c r="C10" s="170">
        <v>92892</v>
      </c>
      <c r="D10" s="170">
        <v>75702</v>
      </c>
      <c r="E10" s="170">
        <v>168594</v>
      </c>
      <c r="F10" s="170">
        <v>91171</v>
      </c>
      <c r="G10" s="170">
        <v>74897</v>
      </c>
      <c r="H10" s="170">
        <v>166068</v>
      </c>
      <c r="I10" s="176"/>
      <c r="J10" s="176"/>
      <c r="K10" s="176"/>
      <c r="L10" s="167">
        <v>91171</v>
      </c>
      <c r="M10" s="167">
        <v>74897</v>
      </c>
      <c r="N10" s="167">
        <v>166068</v>
      </c>
      <c r="O10" s="171">
        <v>98.147310855617278</v>
      </c>
      <c r="P10" s="171">
        <v>98.936619904361848</v>
      </c>
      <c r="Q10" s="171">
        <v>98.501726040072597</v>
      </c>
      <c r="R10" s="172">
        <f t="shared" si="0"/>
        <v>91171</v>
      </c>
      <c r="S10" s="172">
        <f t="shared" si="0"/>
        <v>74897</v>
      </c>
      <c r="T10" s="172">
        <f t="shared" si="0"/>
        <v>166068</v>
      </c>
      <c r="U10" s="172">
        <v>55041</v>
      </c>
      <c r="V10" s="172">
        <v>51463</v>
      </c>
      <c r="W10" s="172">
        <f>U10+V10</f>
        <v>106504</v>
      </c>
      <c r="X10" s="172">
        <v>27058</v>
      </c>
      <c r="Y10" s="172">
        <v>19125</v>
      </c>
      <c r="Z10" s="172">
        <f>X10+Y10</f>
        <v>46183</v>
      </c>
      <c r="AA10" s="177">
        <f>U10/R10%</f>
        <v>60.371170657336215</v>
      </c>
      <c r="AB10" s="177">
        <f>V10/S10%</f>
        <v>68.711697397759593</v>
      </c>
      <c r="AC10" s="177">
        <f>W10/T10%</f>
        <v>64.132764891490226</v>
      </c>
      <c r="AD10" s="178">
        <f>X10/R10%</f>
        <v>29.678296826841866</v>
      </c>
      <c r="AE10" s="178">
        <f>Y10/S10%</f>
        <v>25.53506816027344</v>
      </c>
      <c r="AF10" s="178">
        <f>Z10/T10%</f>
        <v>27.809692415155236</v>
      </c>
    </row>
    <row r="11" spans="1:32" x14ac:dyDescent="0.25">
      <c r="A11" s="506" t="s">
        <v>217</v>
      </c>
      <c r="B11" s="506"/>
      <c r="C11" s="529"/>
      <c r="D11" s="530"/>
      <c r="E11" s="530"/>
      <c r="F11" s="530"/>
      <c r="G11" s="530"/>
      <c r="H11" s="530"/>
      <c r="I11" s="530"/>
      <c r="J11" s="530"/>
      <c r="K11" s="530"/>
      <c r="L11" s="530"/>
      <c r="M11" s="530"/>
      <c r="N11" s="530"/>
      <c r="O11" s="530"/>
      <c r="P11" s="530"/>
      <c r="Q11" s="531"/>
      <c r="R11" s="160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2"/>
    </row>
    <row r="12" spans="1:32" ht="28.5" x14ac:dyDescent="0.25">
      <c r="A12" s="166">
        <v>3</v>
      </c>
      <c r="B12" s="43" t="s">
        <v>232</v>
      </c>
      <c r="C12" s="170">
        <v>340407</v>
      </c>
      <c r="D12" s="170">
        <v>311967</v>
      </c>
      <c r="E12" s="170">
        <v>652374</v>
      </c>
      <c r="F12" s="170">
        <v>311271</v>
      </c>
      <c r="G12" s="170">
        <v>291600</v>
      </c>
      <c r="H12" s="170">
        <v>602871</v>
      </c>
      <c r="I12" s="176"/>
      <c r="J12" s="176"/>
      <c r="K12" s="176"/>
      <c r="L12" s="167">
        <v>311271</v>
      </c>
      <c r="M12" s="167">
        <v>291600</v>
      </c>
      <c r="N12" s="170">
        <v>602871</v>
      </c>
      <c r="O12" s="171">
        <v>91.440834060404157</v>
      </c>
      <c r="P12" s="171">
        <v>93.471424862245044</v>
      </c>
      <c r="Q12" s="171">
        <v>92.411868038885672</v>
      </c>
      <c r="R12" s="172">
        <f t="shared" ref="R12:T15" si="1">L12</f>
        <v>311271</v>
      </c>
      <c r="S12" s="172">
        <f t="shared" si="1"/>
        <v>291600</v>
      </c>
      <c r="T12" s="172">
        <f t="shared" si="1"/>
        <v>602871</v>
      </c>
      <c r="U12" s="168">
        <v>839</v>
      </c>
      <c r="V12" s="168">
        <v>720</v>
      </c>
      <c r="W12" s="172">
        <f t="shared" ref="W12:W44" si="2">U12+V12</f>
        <v>1559</v>
      </c>
      <c r="X12" s="172">
        <v>10164</v>
      </c>
      <c r="Y12" s="172">
        <v>5309</v>
      </c>
      <c r="Z12" s="172">
        <f t="shared" ref="Z12:Z44" si="3">X12+Y12</f>
        <v>15473</v>
      </c>
      <c r="AA12" s="177">
        <f t="shared" ref="AA12:AC44" si="4">U12/R12%</f>
        <v>0.26954004709722396</v>
      </c>
      <c r="AB12" s="177">
        <f t="shared" si="4"/>
        <v>0.24691358024691357</v>
      </c>
      <c r="AC12" s="177">
        <f t="shared" si="4"/>
        <v>0.25859595170442762</v>
      </c>
      <c r="AD12" s="178">
        <f t="shared" ref="AD12:AF44" si="5">X12/R12%</f>
        <v>3.2653218578023653</v>
      </c>
      <c r="AE12" s="178">
        <f t="shared" si="5"/>
        <v>1.8206447187928669</v>
      </c>
      <c r="AF12" s="178">
        <f t="shared" si="5"/>
        <v>2.5665523801941044</v>
      </c>
    </row>
    <row r="13" spans="1:32" ht="28.5" x14ac:dyDescent="0.25">
      <c r="A13" s="166">
        <v>4</v>
      </c>
      <c r="B13" s="45" t="s">
        <v>91</v>
      </c>
      <c r="C13" s="170">
        <v>283777</v>
      </c>
      <c r="D13" s="170">
        <v>271487</v>
      </c>
      <c r="E13" s="170">
        <v>555264</v>
      </c>
      <c r="F13" s="170">
        <v>230427</v>
      </c>
      <c r="G13" s="170">
        <v>228516</v>
      </c>
      <c r="H13" s="170">
        <v>458943</v>
      </c>
      <c r="I13" s="170">
        <v>31897</v>
      </c>
      <c r="J13" s="170">
        <v>26843</v>
      </c>
      <c r="K13" s="170">
        <v>58740</v>
      </c>
      <c r="L13" s="167">
        <v>262324</v>
      </c>
      <c r="M13" s="167">
        <v>255359</v>
      </c>
      <c r="N13" s="170">
        <v>517683</v>
      </c>
      <c r="O13" s="171">
        <v>92.440190713130377</v>
      </c>
      <c r="P13" s="171">
        <v>94.059384058905209</v>
      </c>
      <c r="Q13" s="171">
        <v>93.231868084370674</v>
      </c>
      <c r="R13" s="172">
        <f t="shared" ref="R13:T14" si="6">L13</f>
        <v>262324</v>
      </c>
      <c r="S13" s="172">
        <f t="shared" si="6"/>
        <v>255359</v>
      </c>
      <c r="T13" s="172">
        <f t="shared" si="6"/>
        <v>517683</v>
      </c>
      <c r="U13" s="180">
        <v>416</v>
      </c>
      <c r="V13" s="180">
        <v>297</v>
      </c>
      <c r="W13" s="172">
        <f>U13+V13</f>
        <v>713</v>
      </c>
      <c r="X13" s="172">
        <v>954</v>
      </c>
      <c r="Y13" s="172">
        <v>800</v>
      </c>
      <c r="Z13" s="172">
        <f>X13+Y13</f>
        <v>1754</v>
      </c>
      <c r="AA13" s="177">
        <f t="shared" ref="AA13:AC14" si="7">U13/R13%</f>
        <v>0.15858251627758041</v>
      </c>
      <c r="AB13" s="177">
        <f t="shared" si="7"/>
        <v>0.1163068464397182</v>
      </c>
      <c r="AC13" s="177">
        <f t="shared" si="7"/>
        <v>0.13772907358364095</v>
      </c>
      <c r="AD13" s="178">
        <f t="shared" ref="AD13:AF14" si="8">X13/R13%</f>
        <v>0.36367240511733584</v>
      </c>
      <c r="AE13" s="178">
        <f t="shared" si="8"/>
        <v>0.31328443485445978</v>
      </c>
      <c r="AF13" s="178">
        <f t="shared" si="8"/>
        <v>0.33881738438387971</v>
      </c>
    </row>
    <row r="14" spans="1:32" ht="28.5" x14ac:dyDescent="0.25">
      <c r="A14" s="166">
        <v>5</v>
      </c>
      <c r="B14" s="43" t="s">
        <v>233</v>
      </c>
      <c r="C14" s="170">
        <v>189117</v>
      </c>
      <c r="D14" s="170">
        <v>202587</v>
      </c>
      <c r="E14" s="170">
        <v>391704</v>
      </c>
      <c r="F14" s="170">
        <v>121735</v>
      </c>
      <c r="G14" s="170">
        <v>125262</v>
      </c>
      <c r="H14" s="170">
        <v>246997</v>
      </c>
      <c r="I14" s="176"/>
      <c r="J14" s="176"/>
      <c r="K14" s="176"/>
      <c r="L14" s="167">
        <v>121735</v>
      </c>
      <c r="M14" s="167">
        <v>125262</v>
      </c>
      <c r="N14" s="170">
        <v>246997</v>
      </c>
      <c r="O14" s="171">
        <v>64.370204688103129</v>
      </c>
      <c r="P14" s="171">
        <v>61.83121325652683</v>
      </c>
      <c r="Q14" s="171">
        <v>63.057053285133669</v>
      </c>
      <c r="R14" s="172">
        <f t="shared" si="6"/>
        <v>121735</v>
      </c>
      <c r="S14" s="172">
        <f t="shared" si="6"/>
        <v>125262</v>
      </c>
      <c r="T14" s="172">
        <f t="shared" si="6"/>
        <v>246997</v>
      </c>
      <c r="U14" s="180">
        <v>9361</v>
      </c>
      <c r="V14" s="180">
        <v>7945</v>
      </c>
      <c r="W14" s="172">
        <f>U14+V14</f>
        <v>17306</v>
      </c>
      <c r="X14" s="172">
        <v>28970</v>
      </c>
      <c r="Y14" s="172">
        <v>26275</v>
      </c>
      <c r="Z14" s="172">
        <f>X14+Y14</f>
        <v>55245</v>
      </c>
      <c r="AA14" s="177">
        <f t="shared" si="7"/>
        <v>7.6896537561095828</v>
      </c>
      <c r="AB14" s="177">
        <f t="shared" si="7"/>
        <v>6.3427056888761166</v>
      </c>
      <c r="AC14" s="177">
        <f t="shared" si="7"/>
        <v>7.0065628327469573</v>
      </c>
      <c r="AD14" s="178">
        <f t="shared" si="8"/>
        <v>23.797593132624144</v>
      </c>
      <c r="AE14" s="178">
        <f t="shared" si="8"/>
        <v>20.976034232249209</v>
      </c>
      <c r="AF14" s="178">
        <f t="shared" si="8"/>
        <v>22.366668421073943</v>
      </c>
    </row>
    <row r="15" spans="1:32" x14ac:dyDescent="0.25">
      <c r="A15" s="166">
        <v>6</v>
      </c>
      <c r="B15" s="43" t="s">
        <v>135</v>
      </c>
      <c r="C15" s="170">
        <v>12640</v>
      </c>
      <c r="D15" s="170">
        <v>8030</v>
      </c>
      <c r="E15" s="170">
        <v>20670</v>
      </c>
      <c r="F15" s="170">
        <v>8000</v>
      </c>
      <c r="G15" s="170">
        <v>5064</v>
      </c>
      <c r="H15" s="170">
        <v>13064</v>
      </c>
      <c r="I15" s="176"/>
      <c r="J15" s="176"/>
      <c r="K15" s="176"/>
      <c r="L15" s="167">
        <v>8000</v>
      </c>
      <c r="M15" s="167">
        <v>5064</v>
      </c>
      <c r="N15" s="170">
        <v>13064</v>
      </c>
      <c r="O15" s="171">
        <v>63.291139240506332</v>
      </c>
      <c r="P15" s="171">
        <v>63.063511830635122</v>
      </c>
      <c r="Q15" s="171">
        <v>63.202709240445088</v>
      </c>
      <c r="R15" s="172">
        <f t="shared" si="1"/>
        <v>8000</v>
      </c>
      <c r="S15" s="172">
        <f t="shared" si="1"/>
        <v>5064</v>
      </c>
      <c r="T15" s="172">
        <f t="shared" si="1"/>
        <v>13064</v>
      </c>
      <c r="U15" s="168">
        <v>5</v>
      </c>
      <c r="V15" s="168">
        <v>5</v>
      </c>
      <c r="W15" s="172">
        <f>U15+V15</f>
        <v>10</v>
      </c>
      <c r="X15" s="172">
        <v>724</v>
      </c>
      <c r="Y15" s="172">
        <v>519</v>
      </c>
      <c r="Z15" s="172">
        <f>X15+Y15</f>
        <v>1243</v>
      </c>
      <c r="AA15" s="177">
        <f t="shared" si="4"/>
        <v>6.25E-2</v>
      </c>
      <c r="AB15" s="177">
        <f t="shared" si="4"/>
        <v>9.873617693522907E-2</v>
      </c>
      <c r="AC15" s="177">
        <f t="shared" si="4"/>
        <v>7.6546233925290877E-2</v>
      </c>
      <c r="AD15" s="178">
        <f t="shared" si="5"/>
        <v>9.0500000000000007</v>
      </c>
      <c r="AE15" s="178">
        <f t="shared" si="5"/>
        <v>10.248815165876778</v>
      </c>
      <c r="AF15" s="178">
        <f t="shared" si="5"/>
        <v>9.5146968769136571</v>
      </c>
    </row>
    <row r="16" spans="1:32" x14ac:dyDescent="0.25">
      <c r="A16" s="166">
        <v>7</v>
      </c>
      <c r="B16" s="43" t="s">
        <v>234</v>
      </c>
      <c r="C16" s="170">
        <v>23</v>
      </c>
      <c r="D16" s="170">
        <v>260</v>
      </c>
      <c r="E16" s="170">
        <v>283</v>
      </c>
      <c r="F16" s="170">
        <v>23</v>
      </c>
      <c r="G16" s="170">
        <v>259</v>
      </c>
      <c r="H16" s="170">
        <v>282</v>
      </c>
      <c r="I16" s="170">
        <v>0</v>
      </c>
      <c r="J16" s="170">
        <v>1</v>
      </c>
      <c r="K16" s="170">
        <v>1</v>
      </c>
      <c r="L16" s="167">
        <v>23</v>
      </c>
      <c r="M16" s="167">
        <v>260</v>
      </c>
      <c r="N16" s="170">
        <v>283</v>
      </c>
      <c r="O16" s="171">
        <v>100</v>
      </c>
      <c r="P16" s="171">
        <v>100</v>
      </c>
      <c r="Q16" s="171">
        <v>100</v>
      </c>
      <c r="R16" s="172">
        <f t="shared" ref="R16:T44" si="9">L16</f>
        <v>23</v>
      </c>
      <c r="S16" s="172">
        <f t="shared" si="9"/>
        <v>260</v>
      </c>
      <c r="T16" s="172">
        <f t="shared" si="9"/>
        <v>283</v>
      </c>
      <c r="U16" s="180">
        <v>10</v>
      </c>
      <c r="V16" s="180">
        <v>103</v>
      </c>
      <c r="W16" s="172">
        <f t="shared" si="2"/>
        <v>113</v>
      </c>
      <c r="X16" s="172">
        <v>11</v>
      </c>
      <c r="Y16" s="172">
        <v>104</v>
      </c>
      <c r="Z16" s="172">
        <f t="shared" si="3"/>
        <v>115</v>
      </c>
      <c r="AA16" s="177">
        <f t="shared" si="4"/>
        <v>43.478260869565219</v>
      </c>
      <c r="AB16" s="177">
        <f t="shared" si="4"/>
        <v>39.615384615384613</v>
      </c>
      <c r="AC16" s="177">
        <f t="shared" si="4"/>
        <v>39.929328621908127</v>
      </c>
      <c r="AD16" s="178">
        <f t="shared" si="5"/>
        <v>47.826086956521735</v>
      </c>
      <c r="AE16" s="178">
        <f t="shared" si="5"/>
        <v>40</v>
      </c>
      <c r="AF16" s="178">
        <f t="shared" si="5"/>
        <v>40.636042402826853</v>
      </c>
    </row>
    <row r="17" spans="1:32" x14ac:dyDescent="0.25">
      <c r="A17" s="166">
        <v>8</v>
      </c>
      <c r="B17" s="45" t="s">
        <v>54</v>
      </c>
      <c r="C17" s="170">
        <v>769257</v>
      </c>
      <c r="D17" s="170">
        <v>661562</v>
      </c>
      <c r="E17" s="170">
        <v>1430819</v>
      </c>
      <c r="F17" s="170">
        <v>432513</v>
      </c>
      <c r="G17" s="170">
        <v>266483</v>
      </c>
      <c r="H17" s="170">
        <v>698996</v>
      </c>
      <c r="I17" s="170">
        <v>15845</v>
      </c>
      <c r="J17" s="170">
        <v>24949</v>
      </c>
      <c r="K17" s="170">
        <v>40794</v>
      </c>
      <c r="L17" s="167">
        <v>448358</v>
      </c>
      <c r="M17" s="167">
        <v>291432</v>
      </c>
      <c r="N17" s="170">
        <v>739790</v>
      </c>
      <c r="O17" s="171">
        <v>58.284552496759858</v>
      </c>
      <c r="P17" s="171">
        <v>44.052106983170134</v>
      </c>
      <c r="Q17" s="171">
        <v>51.703954168906066</v>
      </c>
      <c r="R17" s="172">
        <f t="shared" si="9"/>
        <v>448358</v>
      </c>
      <c r="S17" s="172">
        <f t="shared" si="9"/>
        <v>291432</v>
      </c>
      <c r="T17" s="172">
        <f t="shared" si="9"/>
        <v>739790</v>
      </c>
      <c r="U17" s="180">
        <v>9448</v>
      </c>
      <c r="V17" s="180">
        <v>3695</v>
      </c>
      <c r="W17" s="172">
        <f t="shared" si="2"/>
        <v>13143</v>
      </c>
      <c r="X17" s="172">
        <v>108910</v>
      </c>
      <c r="Y17" s="172">
        <v>48505</v>
      </c>
      <c r="Z17" s="172">
        <f t="shared" si="3"/>
        <v>157415</v>
      </c>
      <c r="AA17" s="177">
        <f t="shared" si="4"/>
        <v>2.1072446571712784</v>
      </c>
      <c r="AB17" s="177">
        <f t="shared" si="4"/>
        <v>1.2678772406599137</v>
      </c>
      <c r="AC17" s="177">
        <f t="shared" si="4"/>
        <v>1.7765852471647361</v>
      </c>
      <c r="AD17" s="178">
        <f t="shared" si="5"/>
        <v>24.290856859919977</v>
      </c>
      <c r="AE17" s="178">
        <f t="shared" si="5"/>
        <v>16.643676741057948</v>
      </c>
      <c r="AF17" s="178">
        <f t="shared" si="5"/>
        <v>21.278335743927332</v>
      </c>
    </row>
    <row r="18" spans="1:32" ht="28.5" x14ac:dyDescent="0.25">
      <c r="A18" s="166">
        <v>9</v>
      </c>
      <c r="B18" s="45" t="s">
        <v>235</v>
      </c>
      <c r="C18" s="170">
        <v>26709</v>
      </c>
      <c r="D18" s="170">
        <v>50259</v>
      </c>
      <c r="E18" s="170">
        <v>76968</v>
      </c>
      <c r="F18" s="170">
        <v>25955</v>
      </c>
      <c r="G18" s="170">
        <v>49041</v>
      </c>
      <c r="H18" s="170">
        <v>74996</v>
      </c>
      <c r="I18" s="176"/>
      <c r="J18" s="176"/>
      <c r="K18" s="176"/>
      <c r="L18" s="167">
        <v>25955</v>
      </c>
      <c r="M18" s="167">
        <v>49041</v>
      </c>
      <c r="N18" s="170">
        <v>74996</v>
      </c>
      <c r="O18" s="171">
        <v>97.176981541802391</v>
      </c>
      <c r="P18" s="171">
        <v>97.576553453112879</v>
      </c>
      <c r="Q18" s="171">
        <v>97.437896268579152</v>
      </c>
      <c r="R18" s="172">
        <f t="shared" si="9"/>
        <v>25955</v>
      </c>
      <c r="S18" s="172">
        <f t="shared" si="9"/>
        <v>49041</v>
      </c>
      <c r="T18" s="172">
        <f t="shared" si="9"/>
        <v>74996</v>
      </c>
      <c r="U18" s="173"/>
      <c r="V18" s="173"/>
      <c r="W18" s="173"/>
      <c r="X18" s="172">
        <v>5156</v>
      </c>
      <c r="Y18" s="172">
        <v>8346</v>
      </c>
      <c r="Z18" s="172">
        <f t="shared" si="3"/>
        <v>13502</v>
      </c>
      <c r="AA18" s="174"/>
      <c r="AB18" s="174"/>
      <c r="AC18" s="174"/>
      <c r="AD18" s="178">
        <f t="shared" si="5"/>
        <v>19.865151223271045</v>
      </c>
      <c r="AE18" s="178">
        <f t="shared" si="5"/>
        <v>17.018413164495012</v>
      </c>
      <c r="AF18" s="178">
        <f t="shared" si="5"/>
        <v>18.003626860099203</v>
      </c>
    </row>
    <row r="19" spans="1:32" ht="28.5" x14ac:dyDescent="0.25">
      <c r="A19" s="166">
        <v>10</v>
      </c>
      <c r="B19" s="45" t="s">
        <v>56</v>
      </c>
      <c r="C19" s="170">
        <v>204541</v>
      </c>
      <c r="D19" s="170">
        <v>230003</v>
      </c>
      <c r="E19" s="170">
        <v>434544</v>
      </c>
      <c r="F19" s="170">
        <v>110530</v>
      </c>
      <c r="G19" s="170">
        <v>127571</v>
      </c>
      <c r="H19" s="170">
        <v>238101</v>
      </c>
      <c r="I19" s="170">
        <v>3800</v>
      </c>
      <c r="J19" s="170">
        <v>4477</v>
      </c>
      <c r="K19" s="170">
        <v>8277</v>
      </c>
      <c r="L19" s="168">
        <v>114330</v>
      </c>
      <c r="M19" s="168">
        <v>132048</v>
      </c>
      <c r="N19" s="170">
        <v>246378</v>
      </c>
      <c r="O19" s="171">
        <v>55.895883954806123</v>
      </c>
      <c r="P19" s="171">
        <v>57.411425068368672</v>
      </c>
      <c r="Q19" s="171">
        <v>56.69805589307412</v>
      </c>
      <c r="R19" s="172">
        <f t="shared" si="9"/>
        <v>114330</v>
      </c>
      <c r="S19" s="172">
        <f t="shared" si="9"/>
        <v>132048</v>
      </c>
      <c r="T19" s="172">
        <f t="shared" si="9"/>
        <v>246378</v>
      </c>
      <c r="U19" s="180">
        <v>7762</v>
      </c>
      <c r="V19" s="180">
        <v>7765</v>
      </c>
      <c r="W19" s="172">
        <f t="shared" si="2"/>
        <v>15527</v>
      </c>
      <c r="X19" s="172">
        <v>16505</v>
      </c>
      <c r="Y19" s="172">
        <v>18569</v>
      </c>
      <c r="Z19" s="172">
        <f t="shared" si="3"/>
        <v>35074</v>
      </c>
      <c r="AA19" s="177">
        <f t="shared" ref="AA19:AC20" si="10">U19/R19%</f>
        <v>6.7891192163036829</v>
      </c>
      <c r="AB19" s="177">
        <f t="shared" si="10"/>
        <v>5.8804374166969584</v>
      </c>
      <c r="AC19" s="177">
        <f t="shared" si="10"/>
        <v>6.3021048957293262</v>
      </c>
      <c r="AD19" s="178">
        <f t="shared" si="5"/>
        <v>14.43628094113531</v>
      </c>
      <c r="AE19" s="178">
        <f t="shared" si="5"/>
        <v>14.062310674906094</v>
      </c>
      <c r="AF19" s="178">
        <f t="shared" si="5"/>
        <v>14.235848980022565</v>
      </c>
    </row>
    <row r="20" spans="1:32" x14ac:dyDescent="0.25">
      <c r="A20" s="166">
        <v>11</v>
      </c>
      <c r="B20" s="45" t="s">
        <v>93</v>
      </c>
      <c r="C20" s="170">
        <v>55</v>
      </c>
      <c r="D20" s="170">
        <v>54</v>
      </c>
      <c r="E20" s="170">
        <v>109</v>
      </c>
      <c r="F20" s="170">
        <v>20</v>
      </c>
      <c r="G20" s="170">
        <v>48</v>
      </c>
      <c r="H20" s="170">
        <v>68</v>
      </c>
      <c r="I20" s="176">
        <v>0</v>
      </c>
      <c r="J20" s="176">
        <v>0</v>
      </c>
      <c r="K20" s="176">
        <v>0</v>
      </c>
      <c r="L20" s="168">
        <v>20</v>
      </c>
      <c r="M20" s="168">
        <v>48</v>
      </c>
      <c r="N20" s="170">
        <v>68</v>
      </c>
      <c r="O20" s="171">
        <v>36.363636363636367</v>
      </c>
      <c r="P20" s="171">
        <v>88.888888888888886</v>
      </c>
      <c r="Q20" s="171">
        <v>62.385321100917437</v>
      </c>
      <c r="R20" s="172">
        <f t="shared" si="9"/>
        <v>20</v>
      </c>
      <c r="S20" s="172">
        <f t="shared" si="9"/>
        <v>48</v>
      </c>
      <c r="T20" s="172">
        <f t="shared" si="9"/>
        <v>68</v>
      </c>
      <c r="U20" s="180">
        <v>0</v>
      </c>
      <c r="V20" s="180">
        <v>0</v>
      </c>
      <c r="W20" s="172">
        <v>0</v>
      </c>
      <c r="X20" s="172">
        <v>2</v>
      </c>
      <c r="Y20" s="172">
        <v>6</v>
      </c>
      <c r="Z20" s="172">
        <f t="shared" si="3"/>
        <v>8</v>
      </c>
      <c r="AA20" s="177">
        <f t="shared" si="10"/>
        <v>0</v>
      </c>
      <c r="AB20" s="177">
        <f t="shared" si="10"/>
        <v>0</v>
      </c>
      <c r="AC20" s="177">
        <f t="shared" si="10"/>
        <v>0</v>
      </c>
      <c r="AD20" s="178">
        <f t="shared" si="5"/>
        <v>10</v>
      </c>
      <c r="AE20" s="178">
        <f t="shared" si="5"/>
        <v>12.5</v>
      </c>
      <c r="AF20" s="178">
        <f t="shared" si="5"/>
        <v>11.76470588235294</v>
      </c>
    </row>
    <row r="21" spans="1:32" ht="28.5" x14ac:dyDescent="0.25">
      <c r="A21" s="166">
        <v>12</v>
      </c>
      <c r="B21" s="45" t="s">
        <v>58</v>
      </c>
      <c r="C21" s="170">
        <v>426</v>
      </c>
      <c r="D21" s="170">
        <v>395</v>
      </c>
      <c r="E21" s="170">
        <v>821</v>
      </c>
      <c r="F21" s="170">
        <v>398</v>
      </c>
      <c r="G21" s="170">
        <v>389</v>
      </c>
      <c r="H21" s="170">
        <v>787</v>
      </c>
      <c r="I21" s="170">
        <v>7</v>
      </c>
      <c r="J21" s="170">
        <v>3</v>
      </c>
      <c r="K21" s="170">
        <v>10</v>
      </c>
      <c r="L21" s="167">
        <v>405</v>
      </c>
      <c r="M21" s="167">
        <v>392</v>
      </c>
      <c r="N21" s="170">
        <v>797</v>
      </c>
      <c r="O21" s="171">
        <v>95.070422535211264</v>
      </c>
      <c r="P21" s="171">
        <v>99.240506329113913</v>
      </c>
      <c r="Q21" s="171">
        <v>97.076735688185138</v>
      </c>
      <c r="R21" s="172">
        <f t="shared" si="9"/>
        <v>405</v>
      </c>
      <c r="S21" s="172">
        <f t="shared" si="9"/>
        <v>392</v>
      </c>
      <c r="T21" s="172">
        <f t="shared" si="9"/>
        <v>797</v>
      </c>
      <c r="U21" s="180">
        <v>1</v>
      </c>
      <c r="V21" s="180">
        <v>1</v>
      </c>
      <c r="W21" s="172">
        <f t="shared" si="2"/>
        <v>2</v>
      </c>
      <c r="X21" s="172">
        <v>116</v>
      </c>
      <c r="Y21" s="172">
        <v>129</v>
      </c>
      <c r="Z21" s="172">
        <f t="shared" si="3"/>
        <v>245</v>
      </c>
      <c r="AA21" s="177">
        <f t="shared" si="4"/>
        <v>0.24691358024691359</v>
      </c>
      <c r="AB21" s="177">
        <f t="shared" si="4"/>
        <v>0.25510204081632654</v>
      </c>
      <c r="AC21" s="177">
        <f t="shared" si="4"/>
        <v>0.25094102885821834</v>
      </c>
      <c r="AD21" s="178">
        <f t="shared" si="5"/>
        <v>28.641975308641978</v>
      </c>
      <c r="AE21" s="178">
        <f t="shared" si="5"/>
        <v>32.908163265306122</v>
      </c>
      <c r="AF21" s="178">
        <f t="shared" si="5"/>
        <v>30.740276035131746</v>
      </c>
    </row>
    <row r="22" spans="1:32" ht="28.5" x14ac:dyDescent="0.25">
      <c r="A22" s="166">
        <v>13</v>
      </c>
      <c r="B22" s="45" t="s">
        <v>60</v>
      </c>
      <c r="C22" s="170">
        <v>10419</v>
      </c>
      <c r="D22" s="170">
        <v>10387</v>
      </c>
      <c r="E22" s="170">
        <v>20806</v>
      </c>
      <c r="F22" s="170">
        <v>9095</v>
      </c>
      <c r="G22" s="170">
        <v>9328</v>
      </c>
      <c r="H22" s="170">
        <v>18423</v>
      </c>
      <c r="I22" s="170">
        <v>289</v>
      </c>
      <c r="J22" s="170">
        <v>259</v>
      </c>
      <c r="K22" s="170">
        <v>548</v>
      </c>
      <c r="L22" s="167">
        <v>9384</v>
      </c>
      <c r="M22" s="167">
        <v>9587</v>
      </c>
      <c r="N22" s="170">
        <v>18971</v>
      </c>
      <c r="O22" s="171">
        <v>90.066225165562912</v>
      </c>
      <c r="P22" s="171">
        <v>92.29806488880331</v>
      </c>
      <c r="Q22" s="171">
        <v>91.180428722483896</v>
      </c>
      <c r="R22" s="172">
        <f t="shared" si="9"/>
        <v>9384</v>
      </c>
      <c r="S22" s="172">
        <f t="shared" si="9"/>
        <v>9587</v>
      </c>
      <c r="T22" s="172">
        <f t="shared" si="9"/>
        <v>18971</v>
      </c>
      <c r="U22" s="180">
        <v>1664</v>
      </c>
      <c r="V22" s="180">
        <v>2602</v>
      </c>
      <c r="W22" s="172">
        <f t="shared" si="2"/>
        <v>4266</v>
      </c>
      <c r="X22" s="172">
        <v>2992</v>
      </c>
      <c r="Y22" s="172">
        <v>3450</v>
      </c>
      <c r="Z22" s="172">
        <f t="shared" si="3"/>
        <v>6442</v>
      </c>
      <c r="AA22" s="177">
        <f t="shared" si="4"/>
        <v>17.732310315430521</v>
      </c>
      <c r="AB22" s="177">
        <f t="shared" si="4"/>
        <v>27.140919995827684</v>
      </c>
      <c r="AC22" s="177">
        <f t="shared" si="4"/>
        <v>22.486953771546045</v>
      </c>
      <c r="AD22" s="178">
        <f t="shared" si="5"/>
        <v>31.884057971014492</v>
      </c>
      <c r="AE22" s="178">
        <f t="shared" si="5"/>
        <v>35.986231354959841</v>
      </c>
      <c r="AF22" s="178">
        <f t="shared" si="5"/>
        <v>33.957092404195876</v>
      </c>
    </row>
    <row r="23" spans="1:32" ht="28.5" x14ac:dyDescent="0.25">
      <c r="A23" s="166">
        <v>14</v>
      </c>
      <c r="B23" s="45" t="s">
        <v>62</v>
      </c>
      <c r="C23" s="170">
        <v>487286</v>
      </c>
      <c r="D23" s="170">
        <v>326286</v>
      </c>
      <c r="E23" s="170">
        <v>813572</v>
      </c>
      <c r="F23" s="170">
        <v>297936</v>
      </c>
      <c r="G23" s="170">
        <v>230513</v>
      </c>
      <c r="H23" s="170">
        <v>528449</v>
      </c>
      <c r="I23" s="170">
        <v>692</v>
      </c>
      <c r="J23" s="170">
        <v>485</v>
      </c>
      <c r="K23" s="170">
        <v>1177</v>
      </c>
      <c r="L23" s="167">
        <v>298628</v>
      </c>
      <c r="M23" s="167">
        <v>230998</v>
      </c>
      <c r="N23" s="170">
        <v>529626</v>
      </c>
      <c r="O23" s="171">
        <v>61.283927713909279</v>
      </c>
      <c r="P23" s="171">
        <v>70.796172682861041</v>
      </c>
      <c r="Q23" s="171">
        <v>65.098848042951332</v>
      </c>
      <c r="R23" s="172">
        <f t="shared" si="9"/>
        <v>298628</v>
      </c>
      <c r="S23" s="172">
        <f t="shared" si="9"/>
        <v>230998</v>
      </c>
      <c r="T23" s="172">
        <f t="shared" si="9"/>
        <v>529626</v>
      </c>
      <c r="U23" s="180">
        <v>30634</v>
      </c>
      <c r="V23" s="180">
        <v>24683</v>
      </c>
      <c r="W23" s="172">
        <f t="shared" si="2"/>
        <v>55317</v>
      </c>
      <c r="X23" s="172">
        <v>79612</v>
      </c>
      <c r="Y23" s="172">
        <v>67624</v>
      </c>
      <c r="Z23" s="172">
        <f t="shared" si="3"/>
        <v>147236</v>
      </c>
      <c r="AA23" s="177">
        <f t="shared" si="4"/>
        <v>10.258247719570837</v>
      </c>
      <c r="AB23" s="177">
        <f t="shared" si="4"/>
        <v>10.685373899341119</v>
      </c>
      <c r="AC23" s="177">
        <f t="shared" si="4"/>
        <v>10.444540109435714</v>
      </c>
      <c r="AD23" s="178">
        <f t="shared" si="5"/>
        <v>26.65925499283389</v>
      </c>
      <c r="AE23" s="178">
        <f t="shared" si="5"/>
        <v>29.274712335171731</v>
      </c>
      <c r="AF23" s="178">
        <f t="shared" si="5"/>
        <v>27.799994713250481</v>
      </c>
    </row>
    <row r="24" spans="1:32" x14ac:dyDescent="0.25">
      <c r="A24" s="166">
        <v>15</v>
      </c>
      <c r="B24" s="43" t="s">
        <v>64</v>
      </c>
      <c r="C24" s="170">
        <v>244135</v>
      </c>
      <c r="D24" s="170">
        <v>155760</v>
      </c>
      <c r="E24" s="170">
        <v>399895</v>
      </c>
      <c r="F24" s="170">
        <v>108046</v>
      </c>
      <c r="G24" s="170">
        <v>79227</v>
      </c>
      <c r="H24" s="170">
        <v>187273</v>
      </c>
      <c r="I24" s="170">
        <v>23822</v>
      </c>
      <c r="J24" s="170">
        <v>13706</v>
      </c>
      <c r="K24" s="170">
        <v>37528</v>
      </c>
      <c r="L24" s="167">
        <v>131868</v>
      </c>
      <c r="M24" s="167">
        <v>92933</v>
      </c>
      <c r="N24" s="170">
        <v>224801</v>
      </c>
      <c r="O24" s="171">
        <v>54.014377291252792</v>
      </c>
      <c r="P24" s="171">
        <v>59.664227015921931</v>
      </c>
      <c r="Q24" s="171">
        <v>56.215006439190283</v>
      </c>
      <c r="R24" s="172">
        <f t="shared" si="9"/>
        <v>131868</v>
      </c>
      <c r="S24" s="172">
        <f t="shared" si="9"/>
        <v>92933</v>
      </c>
      <c r="T24" s="172">
        <f t="shared" si="9"/>
        <v>224801</v>
      </c>
      <c r="U24" s="180">
        <v>1917</v>
      </c>
      <c r="V24" s="180">
        <v>3707</v>
      </c>
      <c r="W24" s="172">
        <f t="shared" si="2"/>
        <v>5624</v>
      </c>
      <c r="X24" s="172">
        <v>29687</v>
      </c>
      <c r="Y24" s="172">
        <v>36264</v>
      </c>
      <c r="Z24" s="172">
        <f t="shared" si="3"/>
        <v>65951</v>
      </c>
      <c r="AA24" s="177">
        <f t="shared" si="4"/>
        <v>1.4537264537264536</v>
      </c>
      <c r="AB24" s="177">
        <f t="shared" si="4"/>
        <v>3.9888952255926311</v>
      </c>
      <c r="AC24" s="177">
        <f t="shared" si="4"/>
        <v>2.5017682305683691</v>
      </c>
      <c r="AD24" s="178">
        <f t="shared" si="5"/>
        <v>22.512664179330844</v>
      </c>
      <c r="AE24" s="178">
        <f t="shared" si="5"/>
        <v>39.021660766358558</v>
      </c>
      <c r="AF24" s="178">
        <f t="shared" si="5"/>
        <v>29.337502947050943</v>
      </c>
    </row>
    <row r="25" spans="1:32" x14ac:dyDescent="0.25">
      <c r="A25" s="166">
        <v>16</v>
      </c>
      <c r="B25" s="45" t="s">
        <v>65</v>
      </c>
      <c r="C25" s="170">
        <v>65752</v>
      </c>
      <c r="D25" s="170">
        <v>56863</v>
      </c>
      <c r="E25" s="170">
        <v>122615</v>
      </c>
      <c r="F25" s="170">
        <v>42420</v>
      </c>
      <c r="G25" s="170">
        <v>39491</v>
      </c>
      <c r="H25" s="170">
        <v>81911</v>
      </c>
      <c r="I25" s="170">
        <v>6513</v>
      </c>
      <c r="J25" s="170">
        <v>5097</v>
      </c>
      <c r="K25" s="170">
        <v>11610</v>
      </c>
      <c r="L25" s="167">
        <v>48933</v>
      </c>
      <c r="M25" s="167">
        <v>44588</v>
      </c>
      <c r="N25" s="170">
        <v>93521</v>
      </c>
      <c r="O25" s="171">
        <v>74.420549945248808</v>
      </c>
      <c r="P25" s="171">
        <v>78.41302780366847</v>
      </c>
      <c r="Q25" s="171">
        <v>76.272071116910652</v>
      </c>
      <c r="R25" s="172">
        <f t="shared" si="9"/>
        <v>48933</v>
      </c>
      <c r="S25" s="172">
        <f t="shared" si="9"/>
        <v>44588</v>
      </c>
      <c r="T25" s="172">
        <f t="shared" si="9"/>
        <v>93521</v>
      </c>
      <c r="U25" s="180">
        <v>9526</v>
      </c>
      <c r="V25" s="180">
        <v>12137</v>
      </c>
      <c r="W25" s="172">
        <f t="shared" si="2"/>
        <v>21663</v>
      </c>
      <c r="X25" s="172">
        <v>18343</v>
      </c>
      <c r="Y25" s="172">
        <v>17513</v>
      </c>
      <c r="Z25" s="172">
        <f t="shared" si="3"/>
        <v>35856</v>
      </c>
      <c r="AA25" s="177">
        <f t="shared" si="4"/>
        <v>19.467435064271555</v>
      </c>
      <c r="AB25" s="177">
        <f t="shared" si="4"/>
        <v>27.220328339463531</v>
      </c>
      <c r="AC25" s="177">
        <f t="shared" si="4"/>
        <v>23.16378139669165</v>
      </c>
      <c r="AD25" s="178">
        <f t="shared" si="5"/>
        <v>37.48595017677232</v>
      </c>
      <c r="AE25" s="178">
        <f t="shared" si="5"/>
        <v>39.277384049520052</v>
      </c>
      <c r="AF25" s="178">
        <f t="shared" si="5"/>
        <v>38.340051966937907</v>
      </c>
    </row>
    <row r="26" spans="1:32" x14ac:dyDescent="0.25">
      <c r="A26" s="166">
        <v>17</v>
      </c>
      <c r="B26" s="45" t="s">
        <v>97</v>
      </c>
      <c r="C26" s="170">
        <v>178202</v>
      </c>
      <c r="D26" s="170">
        <v>136754</v>
      </c>
      <c r="E26" s="170">
        <v>314956</v>
      </c>
      <c r="F26" s="170">
        <v>94017</v>
      </c>
      <c r="G26" s="170">
        <v>76503</v>
      </c>
      <c r="H26" s="170">
        <v>170520</v>
      </c>
      <c r="I26" s="176"/>
      <c r="J26" s="176"/>
      <c r="K26" s="176"/>
      <c r="L26" s="167">
        <v>94017</v>
      </c>
      <c r="M26" s="167">
        <v>76503</v>
      </c>
      <c r="N26" s="170">
        <v>170520</v>
      </c>
      <c r="O26" s="171">
        <v>52.758667130559701</v>
      </c>
      <c r="P26" s="171">
        <v>55.942056539479644</v>
      </c>
      <c r="Q26" s="171">
        <v>54.140895871169306</v>
      </c>
      <c r="R26" s="172">
        <f t="shared" si="9"/>
        <v>94017</v>
      </c>
      <c r="S26" s="172">
        <f t="shared" si="9"/>
        <v>76503</v>
      </c>
      <c r="T26" s="172">
        <f t="shared" si="9"/>
        <v>170520</v>
      </c>
      <c r="U26" s="173"/>
      <c r="V26" s="173"/>
      <c r="W26" s="173"/>
      <c r="X26" s="173"/>
      <c r="Y26" s="173"/>
      <c r="Z26" s="173"/>
      <c r="AA26" s="174"/>
      <c r="AB26" s="174"/>
      <c r="AC26" s="174"/>
      <c r="AD26" s="175"/>
      <c r="AE26" s="175"/>
      <c r="AF26" s="175"/>
    </row>
    <row r="27" spans="1:32" ht="28.5" x14ac:dyDescent="0.25">
      <c r="A27" s="166">
        <v>18</v>
      </c>
      <c r="B27" s="45" t="s">
        <v>95</v>
      </c>
      <c r="C27" s="170">
        <v>235292</v>
      </c>
      <c r="D27" s="170">
        <v>234161</v>
      </c>
      <c r="E27" s="170">
        <v>469453</v>
      </c>
      <c r="F27" s="170">
        <v>164932</v>
      </c>
      <c r="G27" s="170">
        <v>152466</v>
      </c>
      <c r="H27" s="170">
        <v>317398</v>
      </c>
      <c r="I27" s="176">
        <v>0</v>
      </c>
      <c r="J27" s="176">
        <v>0</v>
      </c>
      <c r="K27" s="176">
        <v>0</v>
      </c>
      <c r="L27" s="167">
        <v>164932</v>
      </c>
      <c r="M27" s="167">
        <v>152466</v>
      </c>
      <c r="N27" s="170">
        <v>317398</v>
      </c>
      <c r="O27" s="171">
        <v>70.096730870577844</v>
      </c>
      <c r="P27" s="171">
        <v>65.111611241837892</v>
      </c>
      <c r="Q27" s="171">
        <v>67.610176098565773</v>
      </c>
      <c r="R27" s="172">
        <f t="shared" si="9"/>
        <v>164932</v>
      </c>
      <c r="S27" s="172">
        <f t="shared" si="9"/>
        <v>152466</v>
      </c>
      <c r="T27" s="172">
        <f t="shared" si="9"/>
        <v>317398</v>
      </c>
      <c r="U27" s="180">
        <v>10443</v>
      </c>
      <c r="V27" s="180">
        <v>7991</v>
      </c>
      <c r="W27" s="172">
        <f t="shared" si="2"/>
        <v>18434</v>
      </c>
      <c r="X27" s="172">
        <v>41410</v>
      </c>
      <c r="Y27" s="172">
        <v>35741</v>
      </c>
      <c r="Z27" s="172">
        <f t="shared" si="3"/>
        <v>77151</v>
      </c>
      <c r="AA27" s="177">
        <f t="shared" si="4"/>
        <v>6.3317003371086269</v>
      </c>
      <c r="AB27" s="177">
        <f t="shared" si="4"/>
        <v>5.2411685228182021</v>
      </c>
      <c r="AC27" s="177">
        <f t="shared" si="4"/>
        <v>5.8078500809708942</v>
      </c>
      <c r="AD27" s="178">
        <f t="shared" si="5"/>
        <v>25.107316954866249</v>
      </c>
      <c r="AE27" s="178">
        <f t="shared" si="5"/>
        <v>23.44194771293272</v>
      </c>
      <c r="AF27" s="178">
        <f t="shared" si="5"/>
        <v>24.307336530160871</v>
      </c>
    </row>
    <row r="28" spans="1:32" ht="28.5" x14ac:dyDescent="0.25">
      <c r="A28" s="166">
        <v>19</v>
      </c>
      <c r="B28" s="45" t="s">
        <v>236</v>
      </c>
      <c r="C28" s="170">
        <v>415507</v>
      </c>
      <c r="D28" s="170">
        <v>383866</v>
      </c>
      <c r="E28" s="170">
        <v>799373</v>
      </c>
      <c r="F28" s="170">
        <v>303929</v>
      </c>
      <c r="G28" s="170">
        <v>314594</v>
      </c>
      <c r="H28" s="170">
        <v>618523</v>
      </c>
      <c r="I28" s="170">
        <v>27715</v>
      </c>
      <c r="J28" s="170">
        <v>18304</v>
      </c>
      <c r="K28" s="170">
        <v>46019</v>
      </c>
      <c r="L28" s="167">
        <v>331644</v>
      </c>
      <c r="M28" s="167">
        <v>332898</v>
      </c>
      <c r="N28" s="170">
        <v>664542</v>
      </c>
      <c r="O28" s="171">
        <v>79.816705855737695</v>
      </c>
      <c r="P28" s="171">
        <v>86.722450021622137</v>
      </c>
      <c r="Q28" s="171">
        <v>83.132905414618705</v>
      </c>
      <c r="R28" s="172">
        <f t="shared" si="9"/>
        <v>331644</v>
      </c>
      <c r="S28" s="172">
        <f t="shared" si="9"/>
        <v>332898</v>
      </c>
      <c r="T28" s="172">
        <f t="shared" si="9"/>
        <v>664542</v>
      </c>
      <c r="U28" s="180">
        <v>86569</v>
      </c>
      <c r="V28" s="180">
        <v>119610</v>
      </c>
      <c r="W28" s="172">
        <f t="shared" si="2"/>
        <v>206179</v>
      </c>
      <c r="X28" s="172">
        <v>113490</v>
      </c>
      <c r="Y28" s="172">
        <v>119946</v>
      </c>
      <c r="Z28" s="172">
        <f t="shared" si="3"/>
        <v>233436</v>
      </c>
      <c r="AA28" s="177">
        <f t="shared" si="4"/>
        <v>26.102989953082222</v>
      </c>
      <c r="AB28" s="177">
        <f t="shared" si="4"/>
        <v>35.929924481372673</v>
      </c>
      <c r="AC28" s="177">
        <f t="shared" si="4"/>
        <v>31.025728998317639</v>
      </c>
      <c r="AD28" s="178">
        <f t="shared" si="5"/>
        <v>34.220429134855443</v>
      </c>
      <c r="AE28" s="178">
        <f t="shared" si="5"/>
        <v>36.03085629832561</v>
      </c>
      <c r="AF28" s="178">
        <f t="shared" si="5"/>
        <v>35.127350867213814</v>
      </c>
    </row>
    <row r="29" spans="1:32" x14ac:dyDescent="0.25">
      <c r="A29" s="166">
        <v>20</v>
      </c>
      <c r="B29" s="45" t="s">
        <v>237</v>
      </c>
      <c r="C29" s="170">
        <v>240796</v>
      </c>
      <c r="D29" s="170">
        <v>233007</v>
      </c>
      <c r="E29" s="170">
        <v>473803</v>
      </c>
      <c r="F29" s="170">
        <v>230531</v>
      </c>
      <c r="G29" s="170">
        <v>227548</v>
      </c>
      <c r="H29" s="170">
        <v>458079</v>
      </c>
      <c r="I29" s="170">
        <v>6381</v>
      </c>
      <c r="J29" s="170">
        <v>3750</v>
      </c>
      <c r="K29" s="170">
        <v>10131</v>
      </c>
      <c r="L29" s="167">
        <v>236912</v>
      </c>
      <c r="M29" s="167">
        <v>231298</v>
      </c>
      <c r="N29" s="170">
        <v>468210</v>
      </c>
      <c r="O29" s="171">
        <v>98.387016395621188</v>
      </c>
      <c r="P29" s="171">
        <v>99.266545640259736</v>
      </c>
      <c r="Q29" s="171">
        <v>98.819551585785661</v>
      </c>
      <c r="R29" s="172">
        <f t="shared" si="9"/>
        <v>236912</v>
      </c>
      <c r="S29" s="172">
        <f t="shared" si="9"/>
        <v>231298</v>
      </c>
      <c r="T29" s="172">
        <f t="shared" si="9"/>
        <v>468210</v>
      </c>
      <c r="U29" s="173"/>
      <c r="V29" s="173"/>
      <c r="W29" s="173"/>
      <c r="X29" s="173"/>
      <c r="Y29" s="173"/>
      <c r="Z29" s="173"/>
      <c r="AA29" s="174"/>
      <c r="AB29" s="174"/>
      <c r="AC29" s="174"/>
      <c r="AD29" s="175"/>
      <c r="AE29" s="175"/>
      <c r="AF29" s="175"/>
    </row>
    <row r="30" spans="1:32" ht="42.75" x14ac:dyDescent="0.25">
      <c r="A30" s="166">
        <v>21</v>
      </c>
      <c r="B30" s="45" t="s">
        <v>238</v>
      </c>
      <c r="C30" s="170">
        <v>950264</v>
      </c>
      <c r="D30" s="170">
        <v>768935</v>
      </c>
      <c r="E30" s="170">
        <v>1719199</v>
      </c>
      <c r="F30" s="170">
        <v>797466</v>
      </c>
      <c r="G30" s="170">
        <v>688034</v>
      </c>
      <c r="H30" s="170">
        <v>1485500</v>
      </c>
      <c r="I30" s="170">
        <v>22399</v>
      </c>
      <c r="J30" s="170">
        <v>12305</v>
      </c>
      <c r="K30" s="170">
        <v>34704</v>
      </c>
      <c r="L30" s="167">
        <v>819865</v>
      </c>
      <c r="M30" s="167">
        <v>700339</v>
      </c>
      <c r="N30" s="170">
        <v>1520204</v>
      </c>
      <c r="O30" s="171">
        <v>86.277602855627492</v>
      </c>
      <c r="P30" s="171">
        <v>91.079089910070422</v>
      </c>
      <c r="Q30" s="171">
        <v>88.425132867108459</v>
      </c>
      <c r="R30" s="172">
        <f t="shared" si="9"/>
        <v>819865</v>
      </c>
      <c r="S30" s="172">
        <f t="shared" si="9"/>
        <v>700339</v>
      </c>
      <c r="T30" s="172">
        <f t="shared" si="9"/>
        <v>1520204</v>
      </c>
      <c r="U30" s="180">
        <v>185628</v>
      </c>
      <c r="V30" s="180">
        <v>218825</v>
      </c>
      <c r="W30" s="172">
        <f t="shared" si="2"/>
        <v>404453</v>
      </c>
      <c r="X30" s="172">
        <v>295225</v>
      </c>
      <c r="Y30" s="172">
        <v>271336</v>
      </c>
      <c r="Z30" s="172">
        <f t="shared" si="3"/>
        <v>566561</v>
      </c>
      <c r="AA30" s="177">
        <f t="shared" si="4"/>
        <v>22.641288504814817</v>
      </c>
      <c r="AB30" s="177">
        <f t="shared" si="4"/>
        <v>31.245582496476704</v>
      </c>
      <c r="AC30" s="177">
        <f t="shared" si="4"/>
        <v>26.605179304882764</v>
      </c>
      <c r="AD30" s="178">
        <f t="shared" si="5"/>
        <v>36.008977087691271</v>
      </c>
      <c r="AE30" s="178">
        <f t="shared" si="5"/>
        <v>38.743522779682408</v>
      </c>
      <c r="AF30" s="178">
        <f t="shared" si="5"/>
        <v>37.268748141696769</v>
      </c>
    </row>
    <row r="31" spans="1:32" ht="28.5" x14ac:dyDescent="0.25">
      <c r="A31" s="166">
        <v>22</v>
      </c>
      <c r="B31" s="43" t="s">
        <v>239</v>
      </c>
      <c r="C31" s="170">
        <v>656780</v>
      </c>
      <c r="D31" s="170">
        <v>521996</v>
      </c>
      <c r="E31" s="170">
        <v>1178776</v>
      </c>
      <c r="F31" s="170">
        <v>265451</v>
      </c>
      <c r="G31" s="170">
        <v>238457</v>
      </c>
      <c r="H31" s="170">
        <v>503908</v>
      </c>
      <c r="I31" s="170">
        <v>60841</v>
      </c>
      <c r="J31" s="170">
        <v>54205</v>
      </c>
      <c r="K31" s="170">
        <v>115046</v>
      </c>
      <c r="L31" s="167">
        <v>326292</v>
      </c>
      <c r="M31" s="167">
        <v>292662</v>
      </c>
      <c r="N31" s="170">
        <v>618954</v>
      </c>
      <c r="O31" s="171">
        <v>49.680562745516006</v>
      </c>
      <c r="P31" s="171">
        <v>56.065946865493224</v>
      </c>
      <c r="Q31" s="171">
        <v>52.508194941193246</v>
      </c>
      <c r="R31" s="172">
        <f t="shared" si="9"/>
        <v>326292</v>
      </c>
      <c r="S31" s="172">
        <f t="shared" si="9"/>
        <v>292662</v>
      </c>
      <c r="T31" s="172">
        <f t="shared" si="9"/>
        <v>618954</v>
      </c>
      <c r="U31" s="180">
        <v>35224</v>
      </c>
      <c r="V31" s="180">
        <v>35123</v>
      </c>
      <c r="W31" s="172">
        <f t="shared" si="2"/>
        <v>70347</v>
      </c>
      <c r="X31" s="172">
        <v>75043</v>
      </c>
      <c r="Y31" s="172">
        <v>70814</v>
      </c>
      <c r="Z31" s="172">
        <f t="shared" si="3"/>
        <v>145857</v>
      </c>
      <c r="AA31" s="177">
        <f t="shared" si="4"/>
        <v>10.795238620622019</v>
      </c>
      <c r="AB31" s="177">
        <f t="shared" si="4"/>
        <v>12.001216420307387</v>
      </c>
      <c r="AC31" s="177">
        <f t="shared" si="4"/>
        <v>11.365464961855</v>
      </c>
      <c r="AD31" s="178">
        <f t="shared" si="5"/>
        <v>22.998725068343692</v>
      </c>
      <c r="AE31" s="178">
        <f t="shared" si="5"/>
        <v>24.196513384040294</v>
      </c>
      <c r="AF31" s="178">
        <f t="shared" si="5"/>
        <v>23.565079149662171</v>
      </c>
    </row>
    <row r="32" spans="1:32" ht="28.5" x14ac:dyDescent="0.25">
      <c r="A32" s="166">
        <v>23</v>
      </c>
      <c r="B32" s="43" t="s">
        <v>121</v>
      </c>
      <c r="C32" s="170">
        <v>16227</v>
      </c>
      <c r="D32" s="170">
        <v>15726</v>
      </c>
      <c r="E32" s="170">
        <v>31953</v>
      </c>
      <c r="F32" s="170">
        <v>11077</v>
      </c>
      <c r="G32" s="170">
        <v>9705</v>
      </c>
      <c r="H32" s="170">
        <v>20782</v>
      </c>
      <c r="I32" s="170">
        <v>2149</v>
      </c>
      <c r="J32" s="170">
        <v>2335</v>
      </c>
      <c r="K32" s="170">
        <v>4484</v>
      </c>
      <c r="L32" s="167">
        <v>13226</v>
      </c>
      <c r="M32" s="167">
        <v>12040</v>
      </c>
      <c r="N32" s="170">
        <v>25266</v>
      </c>
      <c r="O32" s="171">
        <v>81.506131755715785</v>
      </c>
      <c r="P32" s="171">
        <v>76.561108991479074</v>
      </c>
      <c r="Q32" s="171">
        <v>79.072387569242323</v>
      </c>
      <c r="R32" s="172">
        <f t="shared" si="9"/>
        <v>13226</v>
      </c>
      <c r="S32" s="172">
        <f t="shared" si="9"/>
        <v>12040</v>
      </c>
      <c r="T32" s="172">
        <f t="shared" si="9"/>
        <v>25266</v>
      </c>
      <c r="U32" s="180">
        <v>502</v>
      </c>
      <c r="V32" s="180">
        <v>417</v>
      </c>
      <c r="W32" s="172">
        <f t="shared" si="2"/>
        <v>919</v>
      </c>
      <c r="X32" s="172">
        <v>3200</v>
      </c>
      <c r="Y32" s="172">
        <v>2710</v>
      </c>
      <c r="Z32" s="172">
        <f t="shared" si="3"/>
        <v>5910</v>
      </c>
      <c r="AA32" s="177">
        <f t="shared" si="4"/>
        <v>3.7955542114017846</v>
      </c>
      <c r="AB32" s="177">
        <f t="shared" si="4"/>
        <v>3.463455149501661</v>
      </c>
      <c r="AC32" s="177">
        <f t="shared" si="4"/>
        <v>3.6372991371804004</v>
      </c>
      <c r="AD32" s="178">
        <f t="shared" si="5"/>
        <v>24.194767881445639</v>
      </c>
      <c r="AE32" s="178">
        <f t="shared" si="5"/>
        <v>22.50830564784053</v>
      </c>
      <c r="AF32" s="178">
        <f t="shared" si="5"/>
        <v>23.391118499168844</v>
      </c>
    </row>
    <row r="33" spans="1:32" ht="28.5" x14ac:dyDescent="0.25">
      <c r="A33" s="166">
        <v>24</v>
      </c>
      <c r="B33" s="67" t="s">
        <v>106</v>
      </c>
      <c r="C33" s="186">
        <v>23417</v>
      </c>
      <c r="D33" s="186">
        <v>26709</v>
      </c>
      <c r="E33" s="186">
        <v>50126</v>
      </c>
      <c r="F33" s="186">
        <v>12488</v>
      </c>
      <c r="G33" s="186">
        <v>14655</v>
      </c>
      <c r="H33" s="186">
        <v>27143</v>
      </c>
      <c r="I33" s="185">
        <v>0</v>
      </c>
      <c r="J33" s="185">
        <v>0</v>
      </c>
      <c r="K33" s="185">
        <v>0</v>
      </c>
      <c r="L33" s="182">
        <v>12488</v>
      </c>
      <c r="M33" s="182">
        <v>14655</v>
      </c>
      <c r="N33" s="186">
        <v>27143</v>
      </c>
      <c r="O33" s="184">
        <v>53.328778238032207</v>
      </c>
      <c r="P33" s="184">
        <v>54.86914523194428</v>
      </c>
      <c r="Q33" s="184">
        <v>54.149543151258825</v>
      </c>
      <c r="R33" s="183">
        <f t="shared" si="9"/>
        <v>12488</v>
      </c>
      <c r="S33" s="183">
        <f t="shared" si="9"/>
        <v>14655</v>
      </c>
      <c r="T33" s="183">
        <f t="shared" si="9"/>
        <v>27143</v>
      </c>
      <c r="U33" s="183">
        <v>619</v>
      </c>
      <c r="V33" s="183">
        <v>694</v>
      </c>
      <c r="W33" s="183">
        <f t="shared" si="2"/>
        <v>1313</v>
      </c>
      <c r="X33" s="183">
        <v>2042</v>
      </c>
      <c r="Y33" s="183">
        <v>2292</v>
      </c>
      <c r="Z33" s="183">
        <f t="shared" si="3"/>
        <v>4334</v>
      </c>
      <c r="AA33" s="184">
        <f t="shared" si="4"/>
        <v>4.9567584881486226</v>
      </c>
      <c r="AB33" s="184">
        <f t="shared" si="4"/>
        <v>4.7355851245308767</v>
      </c>
      <c r="AC33" s="184">
        <f t="shared" si="4"/>
        <v>4.8373429613528351</v>
      </c>
      <c r="AD33" s="187">
        <f t="shared" si="5"/>
        <v>16.351697629724537</v>
      </c>
      <c r="AE33" s="187">
        <f t="shared" si="5"/>
        <v>15.639713408393039</v>
      </c>
      <c r="AF33" s="187">
        <f t="shared" si="5"/>
        <v>15.967284382713775</v>
      </c>
    </row>
    <row r="34" spans="1:32" x14ac:dyDescent="0.25">
      <c r="A34" s="166">
        <v>25</v>
      </c>
      <c r="B34" s="45" t="s">
        <v>240</v>
      </c>
      <c r="C34" s="170">
        <v>8919</v>
      </c>
      <c r="D34" s="170">
        <v>9139</v>
      </c>
      <c r="E34" s="170">
        <v>18058</v>
      </c>
      <c r="F34" s="170">
        <v>6187</v>
      </c>
      <c r="G34" s="170">
        <v>6240</v>
      </c>
      <c r="H34" s="170">
        <v>12427</v>
      </c>
      <c r="I34" s="170">
        <v>198</v>
      </c>
      <c r="J34" s="170">
        <v>207</v>
      </c>
      <c r="K34" s="170">
        <v>405</v>
      </c>
      <c r="L34" s="167">
        <v>6385</v>
      </c>
      <c r="M34" s="167">
        <v>6447</v>
      </c>
      <c r="N34" s="170">
        <v>12832</v>
      </c>
      <c r="O34" s="171">
        <v>71.588743132638186</v>
      </c>
      <c r="P34" s="171">
        <v>70.543823175402125</v>
      </c>
      <c r="Q34" s="171">
        <v>71.059918041865103</v>
      </c>
      <c r="R34" s="172">
        <f t="shared" si="9"/>
        <v>6385</v>
      </c>
      <c r="S34" s="172">
        <f t="shared" si="9"/>
        <v>6447</v>
      </c>
      <c r="T34" s="172">
        <f t="shared" si="9"/>
        <v>12832</v>
      </c>
      <c r="U34" s="180">
        <v>303</v>
      </c>
      <c r="V34" s="180">
        <v>308</v>
      </c>
      <c r="W34" s="172">
        <f t="shared" si="2"/>
        <v>611</v>
      </c>
      <c r="X34" s="172">
        <v>968</v>
      </c>
      <c r="Y34" s="172">
        <v>1022</v>
      </c>
      <c r="Z34" s="172">
        <f t="shared" si="3"/>
        <v>1990</v>
      </c>
      <c r="AA34" s="177">
        <f t="shared" si="4"/>
        <v>4.7454972592012528</v>
      </c>
      <c r="AB34" s="177">
        <f t="shared" si="4"/>
        <v>4.7774158523344195</v>
      </c>
      <c r="AC34" s="177">
        <f t="shared" si="4"/>
        <v>4.7615336658354117</v>
      </c>
      <c r="AD34" s="178">
        <f t="shared" si="5"/>
        <v>15.160532498042286</v>
      </c>
      <c r="AE34" s="178">
        <f t="shared" si="5"/>
        <v>15.852334419109663</v>
      </c>
      <c r="AF34" s="178">
        <f t="shared" si="5"/>
        <v>15.508104738154614</v>
      </c>
    </row>
    <row r="35" spans="1:32" ht="28.5" x14ac:dyDescent="0.25">
      <c r="A35" s="166">
        <v>26</v>
      </c>
      <c r="B35" s="45" t="s">
        <v>241</v>
      </c>
      <c r="C35" s="170">
        <v>11071</v>
      </c>
      <c r="D35" s="170">
        <v>11899</v>
      </c>
      <c r="E35" s="170">
        <v>22970</v>
      </c>
      <c r="F35" s="170">
        <v>7377</v>
      </c>
      <c r="G35" s="170">
        <v>7650</v>
      </c>
      <c r="H35" s="170">
        <v>15027</v>
      </c>
      <c r="I35" s="170">
        <v>220</v>
      </c>
      <c r="J35" s="170">
        <v>233</v>
      </c>
      <c r="K35" s="170">
        <v>453</v>
      </c>
      <c r="L35" s="167">
        <v>7597</v>
      </c>
      <c r="M35" s="167">
        <v>7883</v>
      </c>
      <c r="N35" s="170">
        <v>15480</v>
      </c>
      <c r="O35" s="171">
        <v>68.620720802095576</v>
      </c>
      <c r="P35" s="171">
        <v>66.249264644087731</v>
      </c>
      <c r="Q35" s="171">
        <v>67.392250761863309</v>
      </c>
      <c r="R35" s="172">
        <f t="shared" si="9"/>
        <v>7597</v>
      </c>
      <c r="S35" s="172">
        <f t="shared" si="9"/>
        <v>7883</v>
      </c>
      <c r="T35" s="172">
        <f t="shared" si="9"/>
        <v>15480</v>
      </c>
      <c r="U35" s="180">
        <v>694</v>
      </c>
      <c r="V35" s="180">
        <v>966</v>
      </c>
      <c r="W35" s="172">
        <f t="shared" si="2"/>
        <v>1660</v>
      </c>
      <c r="X35" s="172">
        <v>2064</v>
      </c>
      <c r="Y35" s="172">
        <v>2425</v>
      </c>
      <c r="Z35" s="172">
        <f t="shared" si="3"/>
        <v>4489</v>
      </c>
      <c r="AA35" s="177">
        <f t="shared" si="4"/>
        <v>9.1351849414242459</v>
      </c>
      <c r="AB35" s="177">
        <f t="shared" si="4"/>
        <v>12.254217937333502</v>
      </c>
      <c r="AC35" s="177">
        <f t="shared" si="4"/>
        <v>10.723514211886304</v>
      </c>
      <c r="AD35" s="178">
        <f t="shared" si="5"/>
        <v>27.168619191786231</v>
      </c>
      <c r="AE35" s="178">
        <f t="shared" si="5"/>
        <v>30.762400101484207</v>
      </c>
      <c r="AF35" s="178">
        <f t="shared" si="5"/>
        <v>28.998708010335914</v>
      </c>
    </row>
    <row r="36" spans="1:32" ht="28.5" x14ac:dyDescent="0.25">
      <c r="A36" s="166">
        <v>27</v>
      </c>
      <c r="B36" s="43" t="s">
        <v>242</v>
      </c>
      <c r="C36" s="170">
        <v>284290</v>
      </c>
      <c r="D36" s="170">
        <v>286490</v>
      </c>
      <c r="E36" s="170">
        <v>570780</v>
      </c>
      <c r="F36" s="170">
        <v>234992</v>
      </c>
      <c r="G36" s="170">
        <v>239920</v>
      </c>
      <c r="H36" s="170">
        <v>474912</v>
      </c>
      <c r="I36" s="170">
        <v>2311</v>
      </c>
      <c r="J36" s="170">
        <v>1992</v>
      </c>
      <c r="K36" s="170">
        <v>4303</v>
      </c>
      <c r="L36" s="167">
        <v>237303</v>
      </c>
      <c r="M36" s="167">
        <v>241912</v>
      </c>
      <c r="N36" s="170">
        <v>479215</v>
      </c>
      <c r="O36" s="171">
        <v>83.472158711175197</v>
      </c>
      <c r="P36" s="171">
        <v>84.439945547837624</v>
      </c>
      <c r="Q36" s="171">
        <v>83.957917236062926</v>
      </c>
      <c r="R36" s="172">
        <f t="shared" si="9"/>
        <v>237303</v>
      </c>
      <c r="S36" s="172">
        <f t="shared" si="9"/>
        <v>241912</v>
      </c>
      <c r="T36" s="172">
        <f t="shared" si="9"/>
        <v>479215</v>
      </c>
      <c r="U36" s="173"/>
      <c r="V36" s="173"/>
      <c r="W36" s="173"/>
      <c r="X36" s="173"/>
      <c r="Y36" s="173"/>
      <c r="Z36" s="173"/>
      <c r="AA36" s="174"/>
      <c r="AB36" s="174"/>
      <c r="AC36" s="174"/>
      <c r="AD36" s="175"/>
      <c r="AE36" s="175"/>
      <c r="AF36" s="175"/>
    </row>
    <row r="37" spans="1:32" x14ac:dyDescent="0.25">
      <c r="A37" s="166">
        <v>28</v>
      </c>
      <c r="B37" s="45" t="s">
        <v>70</v>
      </c>
      <c r="C37" s="170">
        <v>190512</v>
      </c>
      <c r="D37" s="170">
        <v>151817</v>
      </c>
      <c r="E37" s="170">
        <v>342329</v>
      </c>
      <c r="F37" s="170">
        <v>128466</v>
      </c>
      <c r="G37" s="170">
        <v>118874</v>
      </c>
      <c r="H37" s="170">
        <v>247340</v>
      </c>
      <c r="I37" s="174"/>
      <c r="J37" s="174"/>
      <c r="K37" s="174"/>
      <c r="L37" s="167">
        <v>128466</v>
      </c>
      <c r="M37" s="167">
        <v>118874</v>
      </c>
      <c r="N37" s="170">
        <v>247340</v>
      </c>
      <c r="O37" s="171">
        <v>67.431972789115648</v>
      </c>
      <c r="P37" s="171">
        <v>78.300849048525521</v>
      </c>
      <c r="Q37" s="171">
        <v>72.252131721238925</v>
      </c>
      <c r="R37" s="172">
        <f t="shared" si="9"/>
        <v>128466</v>
      </c>
      <c r="S37" s="172">
        <f t="shared" si="9"/>
        <v>118874</v>
      </c>
      <c r="T37" s="172">
        <f t="shared" si="9"/>
        <v>247340</v>
      </c>
      <c r="U37" s="173"/>
      <c r="V37" s="173"/>
      <c r="W37" s="173"/>
      <c r="X37" s="173"/>
      <c r="Y37" s="173"/>
      <c r="Z37" s="173"/>
      <c r="AA37" s="174"/>
      <c r="AB37" s="174"/>
      <c r="AC37" s="174"/>
      <c r="AD37" s="175"/>
      <c r="AE37" s="175"/>
      <c r="AF37" s="175"/>
    </row>
    <row r="38" spans="1:32" ht="28.5" x14ac:dyDescent="0.25">
      <c r="A38" s="166">
        <v>29</v>
      </c>
      <c r="B38" s="43" t="s">
        <v>243</v>
      </c>
      <c r="C38" s="170">
        <v>632924</v>
      </c>
      <c r="D38" s="170">
        <v>448800</v>
      </c>
      <c r="E38" s="170">
        <v>1081724</v>
      </c>
      <c r="F38" s="170">
        <v>465062</v>
      </c>
      <c r="G38" s="170">
        <v>333802</v>
      </c>
      <c r="H38" s="170">
        <v>798864</v>
      </c>
      <c r="I38" s="170">
        <v>8154</v>
      </c>
      <c r="J38" s="170">
        <v>7827</v>
      </c>
      <c r="K38" s="170">
        <v>15981</v>
      </c>
      <c r="L38" s="167">
        <v>473216</v>
      </c>
      <c r="M38" s="167">
        <v>341629</v>
      </c>
      <c r="N38" s="170">
        <v>814845</v>
      </c>
      <c r="O38" s="171">
        <v>74.766638648558128</v>
      </c>
      <c r="P38" s="171">
        <v>76.120543672014264</v>
      </c>
      <c r="Q38" s="171">
        <v>75.328364721500122</v>
      </c>
      <c r="R38" s="172">
        <f>L38</f>
        <v>473216</v>
      </c>
      <c r="S38" s="172">
        <f>M38</f>
        <v>341629</v>
      </c>
      <c r="T38" s="172">
        <f>N38</f>
        <v>814845</v>
      </c>
      <c r="U38" s="180">
        <v>49698</v>
      </c>
      <c r="V38" s="180">
        <v>33887</v>
      </c>
      <c r="W38" s="172">
        <f t="shared" si="2"/>
        <v>83585</v>
      </c>
      <c r="X38" s="172">
        <v>120699</v>
      </c>
      <c r="Y38" s="172">
        <v>89864</v>
      </c>
      <c r="Z38" s="172">
        <f t="shared" si="3"/>
        <v>210563</v>
      </c>
      <c r="AA38" s="177">
        <f>U38/R38%</f>
        <v>10.502180822288341</v>
      </c>
      <c r="AB38" s="177">
        <f>V38/S38%</f>
        <v>9.9192398771767039</v>
      </c>
      <c r="AC38" s="177">
        <f>W38/T38%</f>
        <v>10.257779086820193</v>
      </c>
      <c r="AD38" s="178">
        <f>X38/R38%</f>
        <v>25.506111374087098</v>
      </c>
      <c r="AE38" s="178">
        <f>Y38/S38%</f>
        <v>26.304558453761246</v>
      </c>
      <c r="AF38" s="178">
        <f>Z38/T38%</f>
        <v>25.840865440666629</v>
      </c>
    </row>
    <row r="39" spans="1:32" ht="28.5" x14ac:dyDescent="0.25">
      <c r="A39" s="166">
        <v>30</v>
      </c>
      <c r="B39" s="45" t="s">
        <v>244</v>
      </c>
      <c r="C39" s="170">
        <v>543993</v>
      </c>
      <c r="D39" s="170">
        <v>516436</v>
      </c>
      <c r="E39" s="170">
        <v>1060429</v>
      </c>
      <c r="F39" s="170">
        <v>470720</v>
      </c>
      <c r="G39" s="170">
        <v>487868</v>
      </c>
      <c r="H39" s="170">
        <v>958588</v>
      </c>
      <c r="I39" s="170">
        <v>3274</v>
      </c>
      <c r="J39" s="170">
        <v>1419</v>
      </c>
      <c r="K39" s="170">
        <v>4693</v>
      </c>
      <c r="L39" s="167">
        <v>473994</v>
      </c>
      <c r="M39" s="167">
        <v>489287</v>
      </c>
      <c r="N39" s="170">
        <v>963281</v>
      </c>
      <c r="O39" s="171">
        <v>87.132371188599862</v>
      </c>
      <c r="P39" s="171">
        <v>94.743007846083543</v>
      </c>
      <c r="Q39" s="171">
        <v>90.838802032007806</v>
      </c>
      <c r="R39" s="172">
        <f t="shared" si="9"/>
        <v>473994</v>
      </c>
      <c r="S39" s="172">
        <f t="shared" si="9"/>
        <v>489287</v>
      </c>
      <c r="T39" s="172">
        <f t="shared" si="9"/>
        <v>963281</v>
      </c>
      <c r="U39" s="180">
        <v>191678</v>
      </c>
      <c r="V39" s="180">
        <v>261716</v>
      </c>
      <c r="W39" s="172">
        <f t="shared" si="2"/>
        <v>453394</v>
      </c>
      <c r="X39" s="172">
        <v>144320</v>
      </c>
      <c r="Y39" s="172">
        <v>135923</v>
      </c>
      <c r="Z39" s="172">
        <f t="shared" si="3"/>
        <v>280243</v>
      </c>
      <c r="AA39" s="177">
        <f t="shared" si="4"/>
        <v>40.438908509390416</v>
      </c>
      <c r="AB39" s="177">
        <f t="shared" si="4"/>
        <v>53.489260904131932</v>
      </c>
      <c r="AC39" s="177">
        <f t="shared" si="4"/>
        <v>47.067678071092445</v>
      </c>
      <c r="AD39" s="178">
        <f t="shared" si="5"/>
        <v>30.44764279716621</v>
      </c>
      <c r="AE39" s="178">
        <f t="shared" si="5"/>
        <v>27.779810213637397</v>
      </c>
      <c r="AF39" s="178">
        <f t="shared" si="5"/>
        <v>29.092549318423181</v>
      </c>
    </row>
    <row r="40" spans="1:32" ht="28.5" x14ac:dyDescent="0.25">
      <c r="A40" s="166">
        <v>31</v>
      </c>
      <c r="B40" s="45" t="s">
        <v>102</v>
      </c>
      <c r="C40" s="170">
        <v>23051</v>
      </c>
      <c r="D40" s="170">
        <v>22484</v>
      </c>
      <c r="E40" s="170">
        <v>45535</v>
      </c>
      <c r="F40" s="170">
        <v>13093</v>
      </c>
      <c r="G40" s="170">
        <v>12123</v>
      </c>
      <c r="H40" s="170">
        <v>25216</v>
      </c>
      <c r="I40" s="170">
        <v>0</v>
      </c>
      <c r="J40" s="170">
        <v>0</v>
      </c>
      <c r="K40" s="170">
        <v>0</v>
      </c>
      <c r="L40" s="167">
        <v>13093</v>
      </c>
      <c r="M40" s="167">
        <v>12123</v>
      </c>
      <c r="N40" s="170">
        <v>25216</v>
      </c>
      <c r="O40" s="171">
        <v>56.800138822610734</v>
      </c>
      <c r="P40" s="171">
        <v>53.918341932040562</v>
      </c>
      <c r="Q40" s="171">
        <v>55.377182387174706</v>
      </c>
      <c r="R40" s="172">
        <f t="shared" si="9"/>
        <v>13093</v>
      </c>
      <c r="S40" s="172">
        <f t="shared" si="9"/>
        <v>12123</v>
      </c>
      <c r="T40" s="172">
        <f t="shared" si="9"/>
        <v>25216</v>
      </c>
      <c r="U40" s="180">
        <v>416</v>
      </c>
      <c r="V40" s="180">
        <v>297</v>
      </c>
      <c r="W40" s="172">
        <f t="shared" si="2"/>
        <v>713</v>
      </c>
      <c r="X40" s="172">
        <v>954</v>
      </c>
      <c r="Y40" s="172">
        <v>800</v>
      </c>
      <c r="Z40" s="172">
        <f t="shared" si="3"/>
        <v>1754</v>
      </c>
      <c r="AA40" s="177">
        <f t="shared" si="4"/>
        <v>3.1772702971053235</v>
      </c>
      <c r="AB40" s="177">
        <f t="shared" si="4"/>
        <v>2.4498886414253898</v>
      </c>
      <c r="AC40" s="177">
        <f t="shared" si="4"/>
        <v>2.8275697969543145</v>
      </c>
      <c r="AD40" s="178">
        <f t="shared" si="5"/>
        <v>7.28633621018865</v>
      </c>
      <c r="AE40" s="178">
        <f t="shared" si="5"/>
        <v>6.5990266435700731</v>
      </c>
      <c r="AF40" s="178">
        <f t="shared" si="5"/>
        <v>6.9559010152284264</v>
      </c>
    </row>
    <row r="41" spans="1:32" ht="28.5" x14ac:dyDescent="0.25">
      <c r="A41" s="166">
        <v>32</v>
      </c>
      <c r="B41" s="45" t="s">
        <v>245</v>
      </c>
      <c r="C41" s="170">
        <v>1781384</v>
      </c>
      <c r="D41" s="170">
        <v>1464164</v>
      </c>
      <c r="E41" s="170">
        <v>3245548</v>
      </c>
      <c r="F41" s="170">
        <v>1513421</v>
      </c>
      <c r="G41" s="170">
        <v>1336836</v>
      </c>
      <c r="H41" s="170">
        <v>2850257</v>
      </c>
      <c r="I41" s="176">
        <v>0</v>
      </c>
      <c r="J41" s="176">
        <v>0</v>
      </c>
      <c r="K41" s="176">
        <v>0</v>
      </c>
      <c r="L41" s="167">
        <v>1513421</v>
      </c>
      <c r="M41" s="167">
        <v>1336836</v>
      </c>
      <c r="N41" s="170">
        <v>2850257</v>
      </c>
      <c r="O41" s="171">
        <v>84.957594769011052</v>
      </c>
      <c r="P41" s="171">
        <v>91.30370641540155</v>
      </c>
      <c r="Q41" s="171">
        <v>87.820515980660275</v>
      </c>
      <c r="R41" s="172">
        <f t="shared" si="9"/>
        <v>1513421</v>
      </c>
      <c r="S41" s="172">
        <f t="shared" si="9"/>
        <v>1336836</v>
      </c>
      <c r="T41" s="172">
        <f t="shared" si="9"/>
        <v>2850257</v>
      </c>
      <c r="U41" s="180">
        <v>356073</v>
      </c>
      <c r="V41" s="180">
        <v>389932</v>
      </c>
      <c r="W41" s="172">
        <f t="shared" si="2"/>
        <v>746005</v>
      </c>
      <c r="X41" s="172">
        <v>795954</v>
      </c>
      <c r="Y41" s="172">
        <v>723765</v>
      </c>
      <c r="Z41" s="172">
        <f t="shared" si="3"/>
        <v>1519719</v>
      </c>
      <c r="AA41" s="177">
        <f t="shared" si="4"/>
        <v>23.527689915760387</v>
      </c>
      <c r="AB41" s="177">
        <f t="shared" si="4"/>
        <v>29.168274941728079</v>
      </c>
      <c r="AC41" s="177">
        <f t="shared" si="4"/>
        <v>26.173253850442258</v>
      </c>
      <c r="AD41" s="178">
        <f t="shared" si="5"/>
        <v>52.59303260626092</v>
      </c>
      <c r="AE41" s="178">
        <f t="shared" si="5"/>
        <v>54.140148829026145</v>
      </c>
      <c r="AF41" s="178">
        <f t="shared" si="5"/>
        <v>53.318665650150145</v>
      </c>
    </row>
    <row r="42" spans="1:32" ht="28.5" x14ac:dyDescent="0.25">
      <c r="A42" s="166">
        <v>33</v>
      </c>
      <c r="B42" s="45" t="s">
        <v>247</v>
      </c>
      <c r="C42" s="170">
        <v>82434</v>
      </c>
      <c r="D42" s="170">
        <v>80431</v>
      </c>
      <c r="E42" s="170">
        <v>162865</v>
      </c>
      <c r="F42" s="170">
        <v>58104</v>
      </c>
      <c r="G42" s="170">
        <v>61563</v>
      </c>
      <c r="H42" s="170">
        <v>119667</v>
      </c>
      <c r="I42" s="176"/>
      <c r="J42" s="176"/>
      <c r="K42" s="176"/>
      <c r="L42" s="167">
        <v>58104</v>
      </c>
      <c r="M42" s="167">
        <v>61563</v>
      </c>
      <c r="N42" s="170">
        <v>119667</v>
      </c>
      <c r="O42" s="171">
        <v>70.485479292524928</v>
      </c>
      <c r="P42" s="171">
        <v>76.541383297484799</v>
      </c>
      <c r="Q42" s="171">
        <v>73.476191938108244</v>
      </c>
      <c r="R42" s="172">
        <f t="shared" si="9"/>
        <v>58104</v>
      </c>
      <c r="S42" s="172">
        <f t="shared" si="9"/>
        <v>61563</v>
      </c>
      <c r="T42" s="172">
        <f t="shared" si="9"/>
        <v>119667</v>
      </c>
      <c r="U42" s="180">
        <v>2454</v>
      </c>
      <c r="V42" s="180">
        <v>2454</v>
      </c>
      <c r="W42" s="172">
        <f t="shared" si="2"/>
        <v>4908</v>
      </c>
      <c r="X42" s="172">
        <v>9728</v>
      </c>
      <c r="Y42" s="172">
        <v>14624</v>
      </c>
      <c r="Z42" s="172">
        <f t="shared" si="3"/>
        <v>24352</v>
      </c>
      <c r="AA42" s="177">
        <f t="shared" si="4"/>
        <v>4.223461379595209</v>
      </c>
      <c r="AB42" s="177">
        <f t="shared" si="4"/>
        <v>3.9861605184932509</v>
      </c>
      <c r="AC42" s="177">
        <f t="shared" si="4"/>
        <v>4.1013813331996287</v>
      </c>
      <c r="AD42" s="178">
        <f t="shared" si="5"/>
        <v>16.742392950571389</v>
      </c>
      <c r="AE42" s="178">
        <f t="shared" si="5"/>
        <v>23.75452788200705</v>
      </c>
      <c r="AF42" s="178">
        <f t="shared" si="5"/>
        <v>20.349804039543063</v>
      </c>
    </row>
    <row r="43" spans="1:32" ht="28.5" x14ac:dyDescent="0.25">
      <c r="A43" s="166">
        <v>34</v>
      </c>
      <c r="B43" s="45" t="s">
        <v>104</v>
      </c>
      <c r="C43" s="170">
        <v>519790</v>
      </c>
      <c r="D43" s="170">
        <v>624307</v>
      </c>
      <c r="E43" s="170">
        <v>1144097</v>
      </c>
      <c r="F43" s="170">
        <v>442461</v>
      </c>
      <c r="G43" s="170">
        <v>485594</v>
      </c>
      <c r="H43" s="170">
        <v>928055</v>
      </c>
      <c r="I43" s="176"/>
      <c r="J43" s="176"/>
      <c r="K43" s="176"/>
      <c r="L43" s="167">
        <v>442461</v>
      </c>
      <c r="M43" s="167">
        <v>485594</v>
      </c>
      <c r="N43" s="170">
        <v>928055</v>
      </c>
      <c r="O43" s="171">
        <v>85.123030454606663</v>
      </c>
      <c r="P43" s="171">
        <v>77.781283887574531</v>
      </c>
      <c r="Q43" s="171">
        <v>81.116810899775103</v>
      </c>
      <c r="R43" s="172">
        <f t="shared" si="9"/>
        <v>442461</v>
      </c>
      <c r="S43" s="172">
        <f t="shared" si="9"/>
        <v>485594</v>
      </c>
      <c r="T43" s="172">
        <f t="shared" si="9"/>
        <v>928055</v>
      </c>
      <c r="U43" s="180">
        <v>28169</v>
      </c>
      <c r="V43" s="180">
        <v>20060</v>
      </c>
      <c r="W43" s="172">
        <f t="shared" si="2"/>
        <v>48229</v>
      </c>
      <c r="X43" s="172">
        <v>37555</v>
      </c>
      <c r="Y43" s="172">
        <v>33938</v>
      </c>
      <c r="Z43" s="172">
        <f t="shared" si="3"/>
        <v>71493</v>
      </c>
      <c r="AA43" s="177">
        <f t="shared" si="4"/>
        <v>6.3664368159001592</v>
      </c>
      <c r="AB43" s="177">
        <f t="shared" si="4"/>
        <v>4.1310230357047253</v>
      </c>
      <c r="AC43" s="177">
        <f t="shared" si="4"/>
        <v>5.1967825182774732</v>
      </c>
      <c r="AD43" s="178">
        <f t="shared" si="5"/>
        <v>8.4877537229269926</v>
      </c>
      <c r="AE43" s="178">
        <f t="shared" si="5"/>
        <v>6.988966091014305</v>
      </c>
      <c r="AF43" s="178">
        <f t="shared" si="5"/>
        <v>7.703530501963785</v>
      </c>
    </row>
    <row r="44" spans="1:32" ht="28.5" x14ac:dyDescent="0.25">
      <c r="A44" s="166">
        <v>35</v>
      </c>
      <c r="B44" s="43" t="s">
        <v>309</v>
      </c>
      <c r="C44" s="189">
        <v>15550</v>
      </c>
      <c r="D44" s="189">
        <v>36128</v>
      </c>
      <c r="E44" s="189">
        <v>51678</v>
      </c>
      <c r="F44" s="189">
        <v>12800</v>
      </c>
      <c r="G44" s="189">
        <v>27042</v>
      </c>
      <c r="H44" s="189">
        <v>39842</v>
      </c>
      <c r="I44" s="191"/>
      <c r="J44" s="191"/>
      <c r="K44" s="191"/>
      <c r="L44" s="188">
        <v>12800</v>
      </c>
      <c r="M44" s="188">
        <v>27042</v>
      </c>
      <c r="N44" s="189">
        <v>39842</v>
      </c>
      <c r="O44" s="190">
        <v>82.315112540192928</v>
      </c>
      <c r="P44" s="190">
        <v>74.850531443755543</v>
      </c>
      <c r="Q44" s="190">
        <v>77.096636866751808</v>
      </c>
      <c r="R44" s="193">
        <f t="shared" si="9"/>
        <v>12800</v>
      </c>
      <c r="S44" s="193">
        <f t="shared" si="9"/>
        <v>27042</v>
      </c>
      <c r="T44" s="193">
        <f t="shared" si="9"/>
        <v>39842</v>
      </c>
      <c r="U44" s="194">
        <v>294</v>
      </c>
      <c r="V44" s="194">
        <v>360</v>
      </c>
      <c r="W44" s="193">
        <f t="shared" si="2"/>
        <v>654</v>
      </c>
      <c r="X44" s="193">
        <v>1073</v>
      </c>
      <c r="Y44" s="193">
        <v>1369</v>
      </c>
      <c r="Z44" s="193">
        <f t="shared" si="3"/>
        <v>2442</v>
      </c>
      <c r="AA44" s="177">
        <f t="shared" si="4"/>
        <v>2.296875</v>
      </c>
      <c r="AB44" s="177">
        <f t="shared" si="4"/>
        <v>1.3312624805857554</v>
      </c>
      <c r="AC44" s="177">
        <f t="shared" si="4"/>
        <v>1.6414838612519451</v>
      </c>
      <c r="AD44" s="178">
        <f t="shared" si="5"/>
        <v>8.3828125</v>
      </c>
      <c r="AE44" s="178">
        <f t="shared" si="5"/>
        <v>5.0624953775608308</v>
      </c>
      <c r="AF44" s="178">
        <f t="shared" si="5"/>
        <v>6.1292103810049694</v>
      </c>
    </row>
    <row r="45" spans="1:32" ht="28.5" x14ac:dyDescent="0.25">
      <c r="A45" s="166">
        <v>36</v>
      </c>
      <c r="B45" s="43" t="s">
        <v>163</v>
      </c>
      <c r="C45" s="170">
        <v>1363</v>
      </c>
      <c r="D45" s="170">
        <v>610</v>
      </c>
      <c r="E45" s="170">
        <v>1973</v>
      </c>
      <c r="F45" s="170">
        <v>1286</v>
      </c>
      <c r="G45" s="170">
        <v>589</v>
      </c>
      <c r="H45" s="170">
        <v>1875</v>
      </c>
      <c r="I45" s="176"/>
      <c r="J45" s="176"/>
      <c r="K45" s="176"/>
      <c r="L45" s="167">
        <v>1286</v>
      </c>
      <c r="M45" s="167">
        <v>589</v>
      </c>
      <c r="N45" s="170">
        <v>1875</v>
      </c>
      <c r="O45" s="171">
        <v>94.350696991929567</v>
      </c>
      <c r="P45" s="171">
        <v>96.557377049180332</v>
      </c>
      <c r="Q45" s="181">
        <v>95.032944754181443</v>
      </c>
      <c r="R45" s="172">
        <f t="shared" ref="R45:T51" si="11">L45</f>
        <v>1286</v>
      </c>
      <c r="S45" s="172">
        <f t="shared" si="11"/>
        <v>589</v>
      </c>
      <c r="T45" s="172">
        <f t="shared" si="11"/>
        <v>1875</v>
      </c>
      <c r="U45" s="180">
        <v>16</v>
      </c>
      <c r="V45" s="180">
        <v>0</v>
      </c>
      <c r="W45" s="172">
        <f>U45+V45</f>
        <v>16</v>
      </c>
      <c r="X45" s="172">
        <v>356</v>
      </c>
      <c r="Y45" s="172">
        <v>122</v>
      </c>
      <c r="Z45" s="172">
        <f>X45+Y45</f>
        <v>478</v>
      </c>
      <c r="AA45" s="177">
        <f>U45/R45%</f>
        <v>1.2441679626749611</v>
      </c>
      <c r="AB45" s="177">
        <f>V45/S45%</f>
        <v>0</v>
      </c>
      <c r="AC45" s="177">
        <f>W45/T45%</f>
        <v>0.85333333333333339</v>
      </c>
      <c r="AD45" s="178">
        <f>X45/R45%</f>
        <v>27.682737169517885</v>
      </c>
      <c r="AE45" s="178">
        <f>Y45/S45%</f>
        <v>20.713073005093381</v>
      </c>
      <c r="AF45" s="178">
        <f>Z45/T45%</f>
        <v>25.493333333333332</v>
      </c>
    </row>
    <row r="46" spans="1:32" ht="42.75" x14ac:dyDescent="0.25">
      <c r="A46" s="166">
        <v>37</v>
      </c>
      <c r="B46" s="43" t="s">
        <v>88</v>
      </c>
      <c r="C46" s="170">
        <v>872</v>
      </c>
      <c r="D46" s="170">
        <v>778</v>
      </c>
      <c r="E46" s="170">
        <v>1650</v>
      </c>
      <c r="F46" s="170">
        <v>850</v>
      </c>
      <c r="G46" s="170">
        <v>742</v>
      </c>
      <c r="H46" s="170">
        <v>1592</v>
      </c>
      <c r="I46" s="170">
        <v>10</v>
      </c>
      <c r="J46" s="170">
        <v>10</v>
      </c>
      <c r="K46" s="170">
        <v>20</v>
      </c>
      <c r="L46" s="167">
        <v>860</v>
      </c>
      <c r="M46" s="167">
        <v>752</v>
      </c>
      <c r="N46" s="170">
        <v>1612</v>
      </c>
      <c r="O46" s="171">
        <v>98.623853211009177</v>
      </c>
      <c r="P46" s="171">
        <v>96.658097686375328</v>
      </c>
      <c r="Q46" s="171">
        <v>97.696969696969688</v>
      </c>
      <c r="R46" s="193">
        <f t="shared" si="11"/>
        <v>860</v>
      </c>
      <c r="S46" s="193">
        <f t="shared" si="11"/>
        <v>752</v>
      </c>
      <c r="T46" s="193">
        <f t="shared" si="11"/>
        <v>1612</v>
      </c>
      <c r="U46" s="173"/>
      <c r="V46" s="173"/>
      <c r="W46" s="173"/>
      <c r="X46" s="173"/>
      <c r="Y46" s="173"/>
      <c r="Z46" s="173"/>
      <c r="AA46" s="174"/>
      <c r="AB46" s="174"/>
      <c r="AC46" s="174"/>
      <c r="AD46" s="175"/>
      <c r="AE46" s="175"/>
      <c r="AF46" s="175"/>
    </row>
    <row r="47" spans="1:32" ht="28.5" x14ac:dyDescent="0.25">
      <c r="A47" s="166">
        <v>38</v>
      </c>
      <c r="B47" s="43" t="s">
        <v>50</v>
      </c>
      <c r="C47" s="170">
        <v>508</v>
      </c>
      <c r="D47" s="170">
        <v>280</v>
      </c>
      <c r="E47" s="170">
        <v>788</v>
      </c>
      <c r="F47" s="170">
        <v>467</v>
      </c>
      <c r="G47" s="170">
        <v>259</v>
      </c>
      <c r="H47" s="170">
        <v>726</v>
      </c>
      <c r="I47" s="176"/>
      <c r="J47" s="176"/>
      <c r="K47" s="176"/>
      <c r="L47" s="167">
        <v>467</v>
      </c>
      <c r="M47" s="167">
        <v>259</v>
      </c>
      <c r="N47" s="170">
        <v>726</v>
      </c>
      <c r="O47" s="171">
        <v>91.929133858267718</v>
      </c>
      <c r="P47" s="171">
        <v>92.5</v>
      </c>
      <c r="Q47" s="171">
        <v>92.131979695431482</v>
      </c>
      <c r="R47" s="172">
        <f t="shared" si="11"/>
        <v>467</v>
      </c>
      <c r="S47" s="172">
        <f t="shared" si="11"/>
        <v>259</v>
      </c>
      <c r="T47" s="172">
        <f t="shared" si="11"/>
        <v>726</v>
      </c>
      <c r="U47" s="168">
        <v>7</v>
      </c>
      <c r="V47" s="168">
        <v>0</v>
      </c>
      <c r="W47" s="172">
        <f>U47+V47</f>
        <v>7</v>
      </c>
      <c r="X47" s="172">
        <v>147</v>
      </c>
      <c r="Y47" s="172">
        <v>79</v>
      </c>
      <c r="Z47" s="172">
        <f>X47+Y47</f>
        <v>226</v>
      </c>
      <c r="AA47" s="177">
        <f>U47/R47%</f>
        <v>1.4989293361884368</v>
      </c>
      <c r="AB47" s="177">
        <f>V47/S47%</f>
        <v>0</v>
      </c>
      <c r="AC47" s="177">
        <f>W47/T47%</f>
        <v>0.96418732782369154</v>
      </c>
      <c r="AD47" s="178">
        <f>X47/R47%</f>
        <v>31.477516059957175</v>
      </c>
      <c r="AE47" s="178">
        <f>Y47/S47%</f>
        <v>30.501930501930502</v>
      </c>
      <c r="AF47" s="178">
        <f>Z47/T47%</f>
        <v>31.12947658402204</v>
      </c>
    </row>
    <row r="48" spans="1:32" ht="28.5" x14ac:dyDescent="0.25">
      <c r="A48" s="166">
        <v>39</v>
      </c>
      <c r="B48" s="43" t="s">
        <v>67</v>
      </c>
      <c r="C48" s="170">
        <v>1036</v>
      </c>
      <c r="D48" s="170">
        <v>235</v>
      </c>
      <c r="E48" s="170">
        <v>1271</v>
      </c>
      <c r="F48" s="170">
        <v>400</v>
      </c>
      <c r="G48" s="170">
        <v>37</v>
      </c>
      <c r="H48" s="170">
        <v>437</v>
      </c>
      <c r="I48" s="170">
        <v>176</v>
      </c>
      <c r="J48" s="170">
        <v>21</v>
      </c>
      <c r="K48" s="170">
        <v>197</v>
      </c>
      <c r="L48" s="167">
        <v>576</v>
      </c>
      <c r="M48" s="167">
        <v>58</v>
      </c>
      <c r="N48" s="170">
        <v>634</v>
      </c>
      <c r="O48" s="171">
        <v>55.598455598455601</v>
      </c>
      <c r="P48" s="171">
        <v>24.680851063829788</v>
      </c>
      <c r="Q48" s="171">
        <v>49.881982690794651</v>
      </c>
      <c r="R48" s="172">
        <f t="shared" si="11"/>
        <v>576</v>
      </c>
      <c r="S48" s="172">
        <f t="shared" si="11"/>
        <v>58</v>
      </c>
      <c r="T48" s="172">
        <f t="shared" si="11"/>
        <v>634</v>
      </c>
      <c r="U48" s="173"/>
      <c r="V48" s="173"/>
      <c r="W48" s="172">
        <v>19</v>
      </c>
      <c r="X48" s="173"/>
      <c r="Y48" s="173"/>
      <c r="Z48" s="172">
        <v>55</v>
      </c>
      <c r="AA48" s="174"/>
      <c r="AB48" s="174"/>
      <c r="AC48" s="177">
        <f>W48/T48%</f>
        <v>2.9968454258675079</v>
      </c>
      <c r="AD48" s="175"/>
      <c r="AE48" s="175"/>
      <c r="AF48" s="178">
        <f>Z48/T48%</f>
        <v>8.6750788643533117</v>
      </c>
    </row>
    <row r="49" spans="1:32" x14ac:dyDescent="0.25">
      <c r="A49" s="166">
        <v>40</v>
      </c>
      <c r="B49" s="45" t="s">
        <v>73</v>
      </c>
      <c r="C49" s="170">
        <v>108</v>
      </c>
      <c r="D49" s="170">
        <v>91</v>
      </c>
      <c r="E49" s="170">
        <v>199</v>
      </c>
      <c r="F49" s="170">
        <v>106</v>
      </c>
      <c r="G49" s="170">
        <v>89</v>
      </c>
      <c r="H49" s="170">
        <v>195</v>
      </c>
      <c r="I49" s="176">
        <v>2</v>
      </c>
      <c r="J49" s="176">
        <v>2</v>
      </c>
      <c r="K49" s="176">
        <v>4</v>
      </c>
      <c r="L49" s="167">
        <v>108</v>
      </c>
      <c r="M49" s="167">
        <v>91</v>
      </c>
      <c r="N49" s="170">
        <v>199</v>
      </c>
      <c r="O49" s="171">
        <v>100</v>
      </c>
      <c r="P49" s="171">
        <v>100</v>
      </c>
      <c r="Q49" s="171">
        <v>100</v>
      </c>
      <c r="R49" s="172">
        <f t="shared" si="11"/>
        <v>108</v>
      </c>
      <c r="S49" s="172">
        <f t="shared" si="11"/>
        <v>91</v>
      </c>
      <c r="T49" s="172">
        <f t="shared" si="11"/>
        <v>199</v>
      </c>
      <c r="U49" s="173"/>
      <c r="V49" s="173"/>
      <c r="W49" s="173"/>
      <c r="X49" s="173"/>
      <c r="Y49" s="173"/>
      <c r="Z49" s="173"/>
      <c r="AA49" s="174"/>
      <c r="AB49" s="174"/>
      <c r="AC49" s="174"/>
      <c r="AD49" s="175"/>
      <c r="AE49" s="175"/>
      <c r="AF49" s="175"/>
    </row>
    <row r="50" spans="1:32" ht="28.5" x14ac:dyDescent="0.25">
      <c r="A50" s="166">
        <v>41</v>
      </c>
      <c r="B50" s="45" t="s">
        <v>246</v>
      </c>
      <c r="C50" s="170">
        <v>14106</v>
      </c>
      <c r="D50" s="170">
        <v>6393</v>
      </c>
      <c r="E50" s="170">
        <v>20499</v>
      </c>
      <c r="F50" s="170">
        <v>13454</v>
      </c>
      <c r="G50" s="170">
        <v>6317</v>
      </c>
      <c r="H50" s="170">
        <v>19771</v>
      </c>
      <c r="I50" s="176">
        <v>0</v>
      </c>
      <c r="J50" s="176">
        <v>0</v>
      </c>
      <c r="K50" s="176">
        <v>0</v>
      </c>
      <c r="L50" s="167">
        <v>13454</v>
      </c>
      <c r="M50" s="167">
        <v>6317</v>
      </c>
      <c r="N50" s="170">
        <v>19771</v>
      </c>
      <c r="O50" s="171">
        <v>95.377853395718134</v>
      </c>
      <c r="P50" s="171">
        <v>98.811199749726271</v>
      </c>
      <c r="Q50" s="171">
        <v>96.448607249134099</v>
      </c>
      <c r="R50" s="172">
        <f t="shared" si="11"/>
        <v>13454</v>
      </c>
      <c r="S50" s="172">
        <f t="shared" si="11"/>
        <v>6317</v>
      </c>
      <c r="T50" s="172">
        <f t="shared" si="11"/>
        <v>19771</v>
      </c>
      <c r="U50" s="180">
        <v>1217</v>
      </c>
      <c r="V50" s="180">
        <v>751</v>
      </c>
      <c r="W50" s="172">
        <f>U50+V50</f>
        <v>1968</v>
      </c>
      <c r="X50" s="172">
        <v>8048</v>
      </c>
      <c r="Y50" s="172">
        <v>3526</v>
      </c>
      <c r="Z50" s="172">
        <f>X50+Y50</f>
        <v>11574</v>
      </c>
      <c r="AA50" s="177">
        <f t="shared" ref="AA50:AC51" si="12">U50/R50%</f>
        <v>9.0456369852831884</v>
      </c>
      <c r="AB50" s="177">
        <f t="shared" si="12"/>
        <v>11.888554693683711</v>
      </c>
      <c r="AC50" s="177">
        <f t="shared" si="12"/>
        <v>9.9539729907440186</v>
      </c>
      <c r="AD50" s="178">
        <f t="shared" ref="AD50:AF51" si="13">X50/R50%</f>
        <v>59.818641296268773</v>
      </c>
      <c r="AE50" s="178">
        <f t="shared" si="13"/>
        <v>55.817634953300619</v>
      </c>
      <c r="AF50" s="178">
        <f t="shared" si="13"/>
        <v>58.540286277881741</v>
      </c>
    </row>
    <row r="51" spans="1:32" ht="28.5" x14ac:dyDescent="0.25">
      <c r="A51" s="166">
        <v>42</v>
      </c>
      <c r="B51" s="45" t="s">
        <v>76</v>
      </c>
      <c r="C51" s="170">
        <v>935</v>
      </c>
      <c r="D51" s="170">
        <v>69</v>
      </c>
      <c r="E51" s="170">
        <v>1004</v>
      </c>
      <c r="F51" s="170">
        <v>848</v>
      </c>
      <c r="G51" s="170">
        <v>61</v>
      </c>
      <c r="H51" s="170">
        <v>909</v>
      </c>
      <c r="I51" s="176">
        <v>2</v>
      </c>
      <c r="J51" s="176">
        <v>2</v>
      </c>
      <c r="K51" s="176">
        <v>4</v>
      </c>
      <c r="L51" s="167">
        <v>850</v>
      </c>
      <c r="M51" s="167">
        <v>63</v>
      </c>
      <c r="N51" s="170">
        <v>913</v>
      </c>
      <c r="O51" s="171">
        <v>90.909090909090907</v>
      </c>
      <c r="P51" s="171">
        <v>91.304347826086953</v>
      </c>
      <c r="Q51" s="171">
        <v>90.936254980079681</v>
      </c>
      <c r="R51" s="172">
        <f t="shared" si="11"/>
        <v>850</v>
      </c>
      <c r="S51" s="172">
        <f t="shared" si="11"/>
        <v>63</v>
      </c>
      <c r="T51" s="172">
        <f t="shared" si="11"/>
        <v>913</v>
      </c>
      <c r="U51" s="180">
        <v>4</v>
      </c>
      <c r="V51" s="180">
        <v>1</v>
      </c>
      <c r="W51" s="172">
        <f>U51+V51</f>
        <v>5</v>
      </c>
      <c r="X51" s="172">
        <v>106</v>
      </c>
      <c r="Y51" s="172">
        <v>26</v>
      </c>
      <c r="Z51" s="172">
        <f>X51+Y51</f>
        <v>132</v>
      </c>
      <c r="AA51" s="177">
        <f t="shared" si="12"/>
        <v>0.47058823529411764</v>
      </c>
      <c r="AB51" s="177">
        <f t="shared" si="12"/>
        <v>1.5873015873015872</v>
      </c>
      <c r="AC51" s="177">
        <f t="shared" si="12"/>
        <v>0.54764512595837889</v>
      </c>
      <c r="AD51" s="178">
        <f t="shared" si="13"/>
        <v>12.470588235294118</v>
      </c>
      <c r="AE51" s="178">
        <f t="shared" si="13"/>
        <v>41.269841269841272</v>
      </c>
      <c r="AF51" s="178">
        <f t="shared" si="13"/>
        <v>14.457831325301203</v>
      </c>
    </row>
    <row r="52" spans="1:32" x14ac:dyDescent="0.25">
      <c r="A52" s="527" t="s">
        <v>256</v>
      </c>
      <c r="B52" s="527"/>
      <c r="C52" s="527"/>
      <c r="D52" s="527"/>
      <c r="E52" s="527"/>
      <c r="F52" s="527"/>
      <c r="G52" s="527"/>
      <c r="H52" s="527"/>
      <c r="I52" s="527"/>
      <c r="J52" s="527"/>
      <c r="K52" s="527"/>
      <c r="L52" s="527"/>
      <c r="M52" s="527"/>
      <c r="N52" s="527"/>
      <c r="O52" s="527"/>
      <c r="P52" s="527"/>
      <c r="Q52" s="527"/>
      <c r="R52" s="527"/>
      <c r="S52" s="527"/>
      <c r="T52" s="527"/>
      <c r="U52" s="527"/>
      <c r="V52" s="527"/>
      <c r="W52" s="527"/>
      <c r="X52" s="527"/>
      <c r="Y52" s="527"/>
      <c r="Z52" s="527"/>
      <c r="AA52" s="527"/>
      <c r="AB52" s="527"/>
      <c r="AC52" s="527"/>
      <c r="AD52" s="527"/>
      <c r="AE52" s="527"/>
      <c r="AF52" s="527"/>
    </row>
    <row r="53" spans="1:32" ht="28.5" x14ac:dyDescent="0.25">
      <c r="A53" s="166">
        <v>1</v>
      </c>
      <c r="B53" s="43" t="s">
        <v>249</v>
      </c>
      <c r="C53" s="167">
        <v>95403</v>
      </c>
      <c r="D53" s="167">
        <v>41897</v>
      </c>
      <c r="E53" s="168">
        <f t="shared" ref="E53:E59" si="14">C53+D53</f>
        <v>137300</v>
      </c>
      <c r="F53" s="167">
        <v>38844</v>
      </c>
      <c r="G53" s="167">
        <v>18651</v>
      </c>
      <c r="H53" s="168">
        <f t="shared" ref="H53:H59" si="15">F53+G53</f>
        <v>57495</v>
      </c>
      <c r="I53" s="167"/>
      <c r="J53" s="167"/>
      <c r="K53" s="168"/>
      <c r="L53" s="167">
        <v>38844</v>
      </c>
      <c r="M53" s="167">
        <v>18651</v>
      </c>
      <c r="N53" s="168">
        <f t="shared" ref="N53:N59" si="16">L53+M53</f>
        <v>57495</v>
      </c>
      <c r="O53" s="167">
        <f>+L53/C53%</f>
        <v>40.715700764126915</v>
      </c>
      <c r="P53" s="167">
        <f t="shared" ref="P53:Q53" si="17">+M53/D53%</f>
        <v>44.516313817218411</v>
      </c>
      <c r="Q53" s="167">
        <f t="shared" si="17"/>
        <v>41.875455207574653</v>
      </c>
      <c r="R53" s="172">
        <f t="shared" ref="R53:T57" si="18">F53</f>
        <v>38844</v>
      </c>
      <c r="S53" s="172">
        <f t="shared" si="18"/>
        <v>18651</v>
      </c>
      <c r="T53" s="172">
        <f t="shared" si="18"/>
        <v>57495</v>
      </c>
      <c r="U53" s="172">
        <v>1445</v>
      </c>
      <c r="V53" s="172">
        <v>881</v>
      </c>
      <c r="W53" s="172">
        <f t="shared" ref="W53:W58" si="19">U53+V53</f>
        <v>2326</v>
      </c>
      <c r="X53" s="172">
        <v>19766</v>
      </c>
      <c r="Y53" s="172">
        <v>79</v>
      </c>
      <c r="Z53" s="172">
        <f>X53+Y53</f>
        <v>19845</v>
      </c>
      <c r="AA53" s="177">
        <f>U53/R53%</f>
        <v>3.7200082380805273</v>
      </c>
      <c r="AB53" s="177">
        <f>V53/S53%</f>
        <v>4.7236073132807892</v>
      </c>
      <c r="AC53" s="177">
        <f>W53/T53%</f>
        <v>4.0455691799286893</v>
      </c>
      <c r="AD53" s="178">
        <f>X53/R53%</f>
        <v>50.885593656677997</v>
      </c>
      <c r="AE53" s="178">
        <f>Y53/S53%</f>
        <v>0.42356978178113774</v>
      </c>
      <c r="AF53" s="178">
        <f>Z53/T53%</f>
        <v>34.516044873467258</v>
      </c>
    </row>
    <row r="54" spans="1:32" x14ac:dyDescent="0.25">
      <c r="A54" s="166">
        <v>2</v>
      </c>
      <c r="B54" s="205" t="s">
        <v>250</v>
      </c>
      <c r="C54" s="206">
        <v>34296</v>
      </c>
      <c r="D54" s="206">
        <v>15700</v>
      </c>
      <c r="E54" s="168">
        <f t="shared" si="14"/>
        <v>49996</v>
      </c>
      <c r="F54" s="206">
        <v>25217</v>
      </c>
      <c r="G54" s="206">
        <v>12478</v>
      </c>
      <c r="H54" s="168">
        <f t="shared" si="15"/>
        <v>37695</v>
      </c>
      <c r="I54" s="207"/>
      <c r="J54" s="207"/>
      <c r="K54" s="168"/>
      <c r="L54" s="206">
        <v>25217</v>
      </c>
      <c r="M54" s="206">
        <v>12478</v>
      </c>
      <c r="N54" s="168">
        <f t="shared" si="16"/>
        <v>37695</v>
      </c>
      <c r="O54" s="167">
        <f t="shared" ref="O54:O60" si="20">+L54/C54%</f>
        <v>73.527525075810601</v>
      </c>
      <c r="P54" s="167">
        <f t="shared" ref="P54:P60" si="21">+M54/D54%</f>
        <v>79.477707006369428</v>
      </c>
      <c r="Q54" s="167">
        <f t="shared" ref="Q54:Q60" si="22">+N54/E54%</f>
        <v>75.396031682534613</v>
      </c>
      <c r="R54" s="172">
        <f t="shared" si="18"/>
        <v>25217</v>
      </c>
      <c r="S54" s="172">
        <f t="shared" si="18"/>
        <v>12478</v>
      </c>
      <c r="T54" s="172">
        <f t="shared" si="18"/>
        <v>37695</v>
      </c>
      <c r="U54" s="173"/>
      <c r="V54" s="173"/>
      <c r="W54" s="173"/>
      <c r="X54" s="173"/>
      <c r="Y54" s="173"/>
      <c r="Z54" s="173"/>
      <c r="AA54" s="174"/>
      <c r="AB54" s="174"/>
      <c r="AC54" s="174"/>
      <c r="AD54" s="175"/>
      <c r="AE54" s="175"/>
      <c r="AF54" s="175"/>
    </row>
    <row r="55" spans="1:32" x14ac:dyDescent="0.25">
      <c r="A55" s="166">
        <v>3</v>
      </c>
      <c r="B55" s="45" t="s">
        <v>251</v>
      </c>
      <c r="C55" s="167">
        <f>36799+8093</f>
        <v>44892</v>
      </c>
      <c r="D55" s="167">
        <f>34987+8950</f>
        <v>43937</v>
      </c>
      <c r="E55" s="168">
        <f t="shared" si="14"/>
        <v>88829</v>
      </c>
      <c r="F55" s="167">
        <f>21364+4522</f>
        <v>25886</v>
      </c>
      <c r="G55" s="167">
        <f>19719+4746</f>
        <v>24465</v>
      </c>
      <c r="H55" s="168">
        <f t="shared" si="15"/>
        <v>50351</v>
      </c>
      <c r="I55" s="167"/>
      <c r="J55" s="167"/>
      <c r="K55" s="168"/>
      <c r="L55" s="167">
        <f>21364+4522</f>
        <v>25886</v>
      </c>
      <c r="M55" s="167">
        <f>19719+4746</f>
        <v>24465</v>
      </c>
      <c r="N55" s="168">
        <f t="shared" si="16"/>
        <v>50351</v>
      </c>
      <c r="O55" s="167">
        <f t="shared" si="20"/>
        <v>57.662835249042146</v>
      </c>
      <c r="P55" s="167">
        <f t="shared" si="21"/>
        <v>55.681999226164734</v>
      </c>
      <c r="Q55" s="167">
        <f t="shared" si="22"/>
        <v>56.683065215188734</v>
      </c>
      <c r="R55" s="172">
        <f t="shared" si="18"/>
        <v>25886</v>
      </c>
      <c r="S55" s="172">
        <f t="shared" si="18"/>
        <v>24465</v>
      </c>
      <c r="T55" s="172">
        <f t="shared" si="18"/>
        <v>50351</v>
      </c>
      <c r="U55" s="172">
        <f>448+5</f>
        <v>453</v>
      </c>
      <c r="V55" s="172">
        <f>454+1</f>
        <v>455</v>
      </c>
      <c r="W55" s="172">
        <f>U55+V55</f>
        <v>908</v>
      </c>
      <c r="X55" s="172">
        <f>3851+139</f>
        <v>3990</v>
      </c>
      <c r="Y55" s="172">
        <f>3787+128</f>
        <v>3915</v>
      </c>
      <c r="Z55" s="172">
        <f>X55+Y55</f>
        <v>7905</v>
      </c>
      <c r="AA55" s="177">
        <f t="shared" ref="AA55:AC56" si="23">U55/R55%</f>
        <v>1.7499806845399057</v>
      </c>
      <c r="AB55" s="177">
        <f t="shared" si="23"/>
        <v>1.8597997138769671</v>
      </c>
      <c r="AC55" s="177">
        <f t="shared" si="23"/>
        <v>1.8033405493436079</v>
      </c>
      <c r="AD55" s="178">
        <f t="shared" ref="AD55:AF56" si="24">X55/R55%</f>
        <v>15.413737155219037</v>
      </c>
      <c r="AE55" s="178">
        <f t="shared" si="24"/>
        <v>16.002452483139177</v>
      </c>
      <c r="AF55" s="178">
        <f t="shared" si="24"/>
        <v>15.699787491807511</v>
      </c>
    </row>
    <row r="56" spans="1:32" ht="28.5" x14ac:dyDescent="0.25">
      <c r="A56" s="166">
        <v>4</v>
      </c>
      <c r="B56" s="45" t="s">
        <v>252</v>
      </c>
      <c r="C56" s="167">
        <f>3819+56574+23205+14959</f>
        <v>98557</v>
      </c>
      <c r="D56" s="167">
        <f>2192+39732+15552+13103</f>
        <v>70579</v>
      </c>
      <c r="E56" s="168">
        <f t="shared" si="14"/>
        <v>169136</v>
      </c>
      <c r="F56" s="167">
        <f>1840+6425+8319+1277</f>
        <v>17861</v>
      </c>
      <c r="G56" s="167">
        <f>1099+5451+6189+1546</f>
        <v>14285</v>
      </c>
      <c r="H56" s="168">
        <f t="shared" si="15"/>
        <v>32146</v>
      </c>
      <c r="I56" s="167"/>
      <c r="J56" s="167"/>
      <c r="K56" s="168"/>
      <c r="L56" s="167">
        <f>1840+6425+8319+1277</f>
        <v>17861</v>
      </c>
      <c r="M56" s="167">
        <f>1099+5451+6189+1546</f>
        <v>14285</v>
      </c>
      <c r="N56" s="168">
        <f t="shared" si="16"/>
        <v>32146</v>
      </c>
      <c r="O56" s="167">
        <f t="shared" si="20"/>
        <v>18.122507787371774</v>
      </c>
      <c r="P56" s="167">
        <f t="shared" si="21"/>
        <v>20.239731364853569</v>
      </c>
      <c r="Q56" s="167">
        <f t="shared" si="22"/>
        <v>19.006007000283795</v>
      </c>
      <c r="R56" s="172">
        <f t="shared" si="18"/>
        <v>17861</v>
      </c>
      <c r="S56" s="172">
        <f t="shared" si="18"/>
        <v>14285</v>
      </c>
      <c r="T56" s="172">
        <f t="shared" si="18"/>
        <v>32146</v>
      </c>
      <c r="U56" s="172">
        <v>0</v>
      </c>
      <c r="V56" s="172">
        <v>2</v>
      </c>
      <c r="W56" s="172">
        <f t="shared" si="19"/>
        <v>2</v>
      </c>
      <c r="X56" s="172">
        <f>4+50+24+78</f>
        <v>156</v>
      </c>
      <c r="Y56" s="172">
        <f>4+12+43+43</f>
        <v>102</v>
      </c>
      <c r="Z56" s="172">
        <f>X56+Y56</f>
        <v>258</v>
      </c>
      <c r="AA56" s="177">
        <f t="shared" si="23"/>
        <v>0</v>
      </c>
      <c r="AB56" s="177">
        <f t="shared" si="23"/>
        <v>1.4000700035001751E-2</v>
      </c>
      <c r="AC56" s="177">
        <f t="shared" si="23"/>
        <v>6.2216138866421954E-3</v>
      </c>
      <c r="AD56" s="178">
        <f t="shared" si="24"/>
        <v>0.87341134314987956</v>
      </c>
      <c r="AE56" s="178">
        <f t="shared" si="24"/>
        <v>0.71403570178508924</v>
      </c>
      <c r="AF56" s="178">
        <f t="shared" si="24"/>
        <v>0.80258819137684323</v>
      </c>
    </row>
    <row r="57" spans="1:32" ht="28.5" x14ac:dyDescent="0.25">
      <c r="A57" s="166">
        <v>5</v>
      </c>
      <c r="B57" s="43" t="s">
        <v>253</v>
      </c>
      <c r="C57" s="167">
        <v>32054</v>
      </c>
      <c r="D57" s="167">
        <v>29520</v>
      </c>
      <c r="E57" s="168">
        <f t="shared" si="14"/>
        <v>61574</v>
      </c>
      <c r="F57" s="167">
        <f>12912+5843</f>
        <v>18755</v>
      </c>
      <c r="G57" s="167">
        <f>15281+6821</f>
        <v>22102</v>
      </c>
      <c r="H57" s="168">
        <f t="shared" si="15"/>
        <v>40857</v>
      </c>
      <c r="I57" s="167"/>
      <c r="J57" s="167"/>
      <c r="K57" s="168"/>
      <c r="L57" s="167">
        <f>12912+5843</f>
        <v>18755</v>
      </c>
      <c r="M57" s="167">
        <f>15281+6821</f>
        <v>22102</v>
      </c>
      <c r="N57" s="168">
        <f t="shared" si="16"/>
        <v>40857</v>
      </c>
      <c r="O57" s="167">
        <f t="shared" si="20"/>
        <v>58.510638297872333</v>
      </c>
      <c r="P57" s="167">
        <f t="shared" si="21"/>
        <v>74.871273712737135</v>
      </c>
      <c r="Q57" s="167">
        <f t="shared" si="22"/>
        <v>66.354305388638068</v>
      </c>
      <c r="R57" s="172">
        <f t="shared" si="18"/>
        <v>18755</v>
      </c>
      <c r="S57" s="172">
        <f t="shared" si="18"/>
        <v>22102</v>
      </c>
      <c r="T57" s="172">
        <f t="shared" si="18"/>
        <v>40857</v>
      </c>
      <c r="U57" s="173"/>
      <c r="V57" s="173"/>
      <c r="W57" s="173"/>
      <c r="X57" s="173"/>
      <c r="Y57" s="173"/>
      <c r="Z57" s="173"/>
      <c r="AA57" s="174"/>
      <c r="AB57" s="174"/>
      <c r="AC57" s="174"/>
      <c r="AD57" s="175"/>
      <c r="AE57" s="175"/>
      <c r="AF57" s="175"/>
    </row>
    <row r="58" spans="1:32" ht="28.5" x14ac:dyDescent="0.25">
      <c r="A58" s="166">
        <v>6</v>
      </c>
      <c r="B58" s="45" t="s">
        <v>254</v>
      </c>
      <c r="C58" s="208">
        <f>29742+8614+15314</f>
        <v>53670</v>
      </c>
      <c r="D58" s="208">
        <f>12242+3412+5345</f>
        <v>20999</v>
      </c>
      <c r="E58" s="168">
        <f t="shared" si="14"/>
        <v>74669</v>
      </c>
      <c r="F58" s="208">
        <f>11862+3210+3316</f>
        <v>18388</v>
      </c>
      <c r="G58" s="208">
        <f>5727+1449+1442</f>
        <v>8618</v>
      </c>
      <c r="H58" s="168">
        <f t="shared" si="15"/>
        <v>27006</v>
      </c>
      <c r="I58" s="208"/>
      <c r="J58" s="208"/>
      <c r="K58" s="168"/>
      <c r="L58" s="208">
        <f>11862+3210+3316</f>
        <v>18388</v>
      </c>
      <c r="M58" s="208">
        <f>5727+1449+1442</f>
        <v>8618</v>
      </c>
      <c r="N58" s="168">
        <f t="shared" si="16"/>
        <v>27006</v>
      </c>
      <c r="O58" s="167">
        <f t="shared" si="20"/>
        <v>34.26122601080678</v>
      </c>
      <c r="P58" s="167">
        <f t="shared" si="21"/>
        <v>41.040049526167913</v>
      </c>
      <c r="Q58" s="167">
        <f t="shared" si="22"/>
        <v>36.167619761882442</v>
      </c>
      <c r="R58" s="172">
        <f t="shared" ref="R58:T59" si="25">F58</f>
        <v>18388</v>
      </c>
      <c r="S58" s="172">
        <f t="shared" si="25"/>
        <v>8618</v>
      </c>
      <c r="T58" s="172">
        <f t="shared" si="25"/>
        <v>27006</v>
      </c>
      <c r="U58" s="193">
        <f>792+2</f>
        <v>794</v>
      </c>
      <c r="V58" s="193">
        <v>382</v>
      </c>
      <c r="W58" s="172">
        <f t="shared" si="19"/>
        <v>1176</v>
      </c>
      <c r="X58" s="193">
        <f>3865+119</f>
        <v>3984</v>
      </c>
      <c r="Y58" s="193">
        <f>1858+55</f>
        <v>1913</v>
      </c>
      <c r="Z58" s="172">
        <f>X58+Y58</f>
        <v>5897</v>
      </c>
      <c r="AA58" s="177">
        <f>U58/R58%</f>
        <v>4.3180335001087666</v>
      </c>
      <c r="AB58" s="177">
        <f>V58/S58%</f>
        <v>4.4325829658853557</v>
      </c>
      <c r="AC58" s="177">
        <f>W58/T58%</f>
        <v>4.3545878693623639</v>
      </c>
      <c r="AD58" s="178">
        <f t="shared" ref="AD58:AF60" si="26">X58/R58%</f>
        <v>21.666304111376984</v>
      </c>
      <c r="AE58" s="178">
        <f t="shared" si="26"/>
        <v>22.197725690415407</v>
      </c>
      <c r="AF58" s="178">
        <f t="shared" si="26"/>
        <v>21.835888321113828</v>
      </c>
    </row>
    <row r="59" spans="1:32" ht="28.5" x14ac:dyDescent="0.25">
      <c r="A59" s="166">
        <v>7</v>
      </c>
      <c r="B59" s="210" t="s">
        <v>308</v>
      </c>
      <c r="C59" s="188">
        <f>6181+982+371+13+5865+894+311+17</f>
        <v>14634</v>
      </c>
      <c r="D59" s="188">
        <f>7168+1133+457+5+7591+1135+507+4</f>
        <v>18000</v>
      </c>
      <c r="E59" s="168">
        <f t="shared" si="14"/>
        <v>32634</v>
      </c>
      <c r="F59" s="188">
        <f>1159+192+42+3+1396+206+52+3</f>
        <v>3053</v>
      </c>
      <c r="G59" s="188">
        <f>1670+235+63+2107+328+111+3</f>
        <v>4517</v>
      </c>
      <c r="H59" s="168">
        <f t="shared" si="15"/>
        <v>7570</v>
      </c>
      <c r="I59" s="188"/>
      <c r="J59" s="188"/>
      <c r="K59" s="170"/>
      <c r="L59" s="188">
        <f>1159+192+42+3+1396+206+52+3</f>
        <v>3053</v>
      </c>
      <c r="M59" s="188">
        <f>1670+235+63+2107+328+111+3</f>
        <v>4517</v>
      </c>
      <c r="N59" s="168">
        <f t="shared" si="16"/>
        <v>7570</v>
      </c>
      <c r="O59" s="167">
        <f t="shared" si="20"/>
        <v>20.862375290419571</v>
      </c>
      <c r="P59" s="167">
        <f t="shared" si="21"/>
        <v>25.094444444444445</v>
      </c>
      <c r="Q59" s="167">
        <f t="shared" si="22"/>
        <v>23.196666053808912</v>
      </c>
      <c r="R59" s="172">
        <f t="shared" si="25"/>
        <v>3053</v>
      </c>
      <c r="S59" s="172">
        <f t="shared" si="25"/>
        <v>4517</v>
      </c>
      <c r="T59" s="172">
        <f t="shared" si="25"/>
        <v>7570</v>
      </c>
      <c r="U59" s="176"/>
      <c r="V59" s="176"/>
      <c r="W59" s="176"/>
      <c r="X59" s="213">
        <f>66+110</f>
        <v>176</v>
      </c>
      <c r="Y59" s="213">
        <f>91+87</f>
        <v>178</v>
      </c>
      <c r="Z59" s="172">
        <f>X59+Y59</f>
        <v>354</v>
      </c>
      <c r="AA59" s="215"/>
      <c r="AB59" s="215"/>
      <c r="AC59" s="215"/>
      <c r="AD59" s="178">
        <f t="shared" si="26"/>
        <v>5.7648214870619059</v>
      </c>
      <c r="AE59" s="178">
        <f t="shared" si="26"/>
        <v>3.9406685853442549</v>
      </c>
      <c r="AF59" s="178">
        <f t="shared" si="26"/>
        <v>4.6763540290620869</v>
      </c>
    </row>
    <row r="60" spans="1:32" x14ac:dyDescent="0.25">
      <c r="A60" s="526" t="s">
        <v>3</v>
      </c>
      <c r="B60" s="526"/>
      <c r="C60" s="217">
        <f>SUM(C9:C59)</f>
        <v>10820446</v>
      </c>
      <c r="D60" s="217">
        <f t="shared" ref="D60:N60" si="27">SUM(D9:D59)</f>
        <v>9189510</v>
      </c>
      <c r="E60" s="217">
        <f t="shared" si="27"/>
        <v>20009956</v>
      </c>
      <c r="F60" s="217">
        <f t="shared" si="27"/>
        <v>8039440</v>
      </c>
      <c r="G60" s="217">
        <f t="shared" si="27"/>
        <v>7060624</v>
      </c>
      <c r="H60" s="217">
        <f t="shared" si="27"/>
        <v>15100064</v>
      </c>
      <c r="I60" s="217">
        <f t="shared" si="27"/>
        <v>227057</v>
      </c>
      <c r="J60" s="217">
        <f t="shared" si="27"/>
        <v>185047</v>
      </c>
      <c r="K60" s="217">
        <f t="shared" si="27"/>
        <v>412104</v>
      </c>
      <c r="L60" s="217">
        <f t="shared" si="27"/>
        <v>8266497</v>
      </c>
      <c r="M60" s="217">
        <f t="shared" si="27"/>
        <v>7245671</v>
      </c>
      <c r="N60" s="217">
        <f t="shared" si="27"/>
        <v>15512168</v>
      </c>
      <c r="O60" s="218">
        <f t="shared" si="20"/>
        <v>76.397008034604113</v>
      </c>
      <c r="P60" s="218">
        <f t="shared" si="21"/>
        <v>78.847196422877815</v>
      </c>
      <c r="Q60" s="218">
        <f t="shared" si="22"/>
        <v>77.52224942423662</v>
      </c>
      <c r="R60" s="217">
        <f t="shared" ref="R60" si="28">SUM(R9:R59)</f>
        <v>8266497</v>
      </c>
      <c r="S60" s="217">
        <f t="shared" ref="S60" si="29">SUM(S9:S59)</f>
        <v>7245671</v>
      </c>
      <c r="T60" s="217">
        <f t="shared" ref="T60" si="30">SUM(T9:T59)</f>
        <v>15512168</v>
      </c>
      <c r="U60" s="217">
        <f t="shared" ref="U60" si="31">SUM(U9:U59)</f>
        <v>1079324</v>
      </c>
      <c r="V60" s="217">
        <f t="shared" ref="V60" si="32">SUM(V9:V59)</f>
        <v>1210235</v>
      </c>
      <c r="W60" s="217">
        <f t="shared" ref="W60" si="33">SUM(W9:W59)</f>
        <v>2289578</v>
      </c>
      <c r="X60" s="217">
        <f t="shared" ref="X60" si="34">SUM(X9:X59)</f>
        <v>2009658</v>
      </c>
      <c r="Y60" s="217">
        <f t="shared" ref="Y60" si="35">SUM(Y9:Y59)</f>
        <v>1769047</v>
      </c>
      <c r="Z60" s="217">
        <f t="shared" ref="Z60" si="36">SUM(Z9:Z59)</f>
        <v>3778760</v>
      </c>
      <c r="AA60" s="219">
        <f>+U60/R60%</f>
        <v>13.056606686000128</v>
      </c>
      <c r="AB60" s="219">
        <f t="shared" ref="AB60:AC60" si="37">+V60/S60%</f>
        <v>16.702869892933311</v>
      </c>
      <c r="AC60" s="219">
        <f t="shared" si="37"/>
        <v>14.759883982690235</v>
      </c>
      <c r="AD60" s="219">
        <f t="shared" si="26"/>
        <v>24.310877993423333</v>
      </c>
      <c r="AE60" s="219">
        <f t="shared" si="26"/>
        <v>24.415226691910242</v>
      </c>
      <c r="AF60" s="219">
        <f t="shared" si="26"/>
        <v>24.359973409261684</v>
      </c>
    </row>
    <row r="61" spans="1:32" x14ac:dyDescent="0.25">
      <c r="A61" s="198"/>
      <c r="B61" s="199"/>
      <c r="C61" s="528" t="s">
        <v>248</v>
      </c>
      <c r="D61" s="528"/>
      <c r="E61" s="528"/>
      <c r="F61" s="528"/>
      <c r="G61" s="528"/>
      <c r="H61" s="528"/>
      <c r="I61" s="528"/>
      <c r="J61" s="528"/>
      <c r="K61" s="528"/>
      <c r="L61" s="528"/>
      <c r="M61" s="528"/>
      <c r="N61" s="528"/>
      <c r="O61" s="528"/>
      <c r="P61" s="528"/>
      <c r="Q61" s="528"/>
      <c r="R61" s="528" t="s">
        <v>248</v>
      </c>
      <c r="S61" s="528"/>
      <c r="T61" s="528"/>
      <c r="U61" s="528"/>
      <c r="V61" s="528"/>
      <c r="W61" s="528"/>
      <c r="X61" s="528"/>
      <c r="Y61" s="528"/>
      <c r="Z61" s="528"/>
      <c r="AA61" s="528"/>
      <c r="AB61" s="528"/>
      <c r="AC61" s="528"/>
      <c r="AD61" s="528"/>
      <c r="AE61" s="528"/>
      <c r="AF61" s="528"/>
    </row>
    <row r="62" spans="1:32" x14ac:dyDescent="0.25">
      <c r="A62" s="202"/>
      <c r="B62" s="203"/>
      <c r="C62" s="528" t="s">
        <v>228</v>
      </c>
      <c r="D62" s="528"/>
      <c r="E62" s="528"/>
      <c r="F62" s="528"/>
      <c r="G62" s="528"/>
      <c r="H62" s="528"/>
      <c r="I62" s="528"/>
      <c r="J62" s="528"/>
      <c r="K62" s="528"/>
      <c r="L62" s="528"/>
      <c r="M62" s="528"/>
      <c r="N62" s="528"/>
      <c r="O62" s="528"/>
      <c r="P62" s="528"/>
      <c r="Q62" s="528"/>
      <c r="R62" s="528" t="s">
        <v>228</v>
      </c>
      <c r="S62" s="528"/>
      <c r="T62" s="528"/>
      <c r="U62" s="528"/>
      <c r="V62" s="528"/>
      <c r="W62" s="528"/>
      <c r="X62" s="528"/>
      <c r="Y62" s="528"/>
      <c r="Z62" s="528"/>
      <c r="AA62" s="528"/>
      <c r="AB62" s="528"/>
      <c r="AC62" s="528"/>
      <c r="AD62" s="528"/>
      <c r="AE62" s="528"/>
      <c r="AF62" s="528"/>
    </row>
    <row r="63" spans="1:32" x14ac:dyDescent="0.25">
      <c r="C63" s="367" t="s">
        <v>332</v>
      </c>
      <c r="D63" s="367"/>
      <c r="E63" s="367"/>
      <c r="F63" s="369" t="s">
        <v>333</v>
      </c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 t="s">
        <v>332</v>
      </c>
    </row>
  </sheetData>
  <mergeCells count="44">
    <mergeCell ref="A3:A6"/>
    <mergeCell ref="B3:B6"/>
    <mergeCell ref="C3:N3"/>
    <mergeCell ref="C2:Q2"/>
    <mergeCell ref="C1:Q1"/>
    <mergeCell ref="C4:E5"/>
    <mergeCell ref="F4:N4"/>
    <mergeCell ref="F5:H5"/>
    <mergeCell ref="I5:K5"/>
    <mergeCell ref="L5:N5"/>
    <mergeCell ref="R3:T5"/>
    <mergeCell ref="U3:Z4"/>
    <mergeCell ref="AA3:AF4"/>
    <mergeCell ref="AD5:AF5"/>
    <mergeCell ref="O3:Q5"/>
    <mergeCell ref="U5:W5"/>
    <mergeCell ref="X5:Z5"/>
    <mergeCell ref="AA5:AC5"/>
    <mergeCell ref="A11:B11"/>
    <mergeCell ref="C11:Q11"/>
    <mergeCell ref="R8:AF8"/>
    <mergeCell ref="A8:B8"/>
    <mergeCell ref="C8:Q8"/>
    <mergeCell ref="K52:L52"/>
    <mergeCell ref="R62:AF62"/>
    <mergeCell ref="R61:AF61"/>
    <mergeCell ref="C62:Q62"/>
    <mergeCell ref="C61:Q61"/>
    <mergeCell ref="Y52:Z52"/>
    <mergeCell ref="AA52:AB52"/>
    <mergeCell ref="AC52:AD52"/>
    <mergeCell ref="AE52:AF52"/>
    <mergeCell ref="M52:N52"/>
    <mergeCell ref="O52:P52"/>
    <mergeCell ref="Q52:R52"/>
    <mergeCell ref="S52:T52"/>
    <mergeCell ref="U52:V52"/>
    <mergeCell ref="W52:X52"/>
    <mergeCell ref="A60:B60"/>
    <mergeCell ref="C52:D52"/>
    <mergeCell ref="E52:F52"/>
    <mergeCell ref="G52:H52"/>
    <mergeCell ref="I52:J52"/>
    <mergeCell ref="A52:B52"/>
  </mergeCells>
  <hyperlinks>
    <hyperlink ref="F63" r:id="rId1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61" firstPageNumber="65" orientation="landscape" useFirstPageNumber="1" horizontalDpi="300" verticalDpi="300" r:id="rId2"/>
  <headerFooter>
    <oddFooter>Page &amp;P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Sheet1</vt:lpstr>
      <vt:lpstr>Class-X Boardwise</vt:lpstr>
      <vt:lpstr>All Category</vt:lpstr>
      <vt:lpstr>SC</vt:lpstr>
      <vt:lpstr>ST</vt:lpstr>
      <vt:lpstr>Board</vt:lpstr>
      <vt:lpstr>Open Board</vt:lpstr>
      <vt:lpstr>TS_Final</vt:lpstr>
      <vt:lpstr>2016</vt:lpstr>
      <vt:lpstr>2015</vt:lpstr>
      <vt:lpstr>2014</vt:lpstr>
      <vt:lpstr>2013</vt:lpstr>
      <vt:lpstr>2012</vt:lpstr>
      <vt:lpstr>2011</vt:lpstr>
      <vt:lpstr>X OPEN BOARD- 2022</vt:lpstr>
      <vt:lpstr>TS</vt:lpstr>
      <vt:lpstr>'2015'!Print_Area</vt:lpstr>
      <vt:lpstr>'All Category'!Print_Area</vt:lpstr>
      <vt:lpstr>Board!Print_Area</vt:lpstr>
      <vt:lpstr>SC!Print_Area</vt:lpstr>
      <vt:lpstr>ST!Print_Area</vt:lpstr>
      <vt:lpstr>TS_Final!Print_Area</vt:lpstr>
      <vt:lpstr>'X OPEN BOARD- 2022'!Print_Area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'All Category'!Print_Titles</vt:lpstr>
      <vt:lpstr>Board!Print_Titles</vt:lpstr>
      <vt:lpstr>SC!Print_Titles</vt:lpstr>
      <vt:lpstr>ST!Print_Titles</vt:lpstr>
      <vt:lpstr>TS_Final!Print_Titles</vt:lpstr>
      <vt:lpstr>'X OPEN BOARD- 2022'!Print_Titles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cp:lastPrinted>2023-05-08T05:39:13Z</cp:lastPrinted>
  <dcterms:created xsi:type="dcterms:W3CDTF">2018-01-23T05:44:31Z</dcterms:created>
  <dcterms:modified xsi:type="dcterms:W3CDTF">2023-05-08T05:56:15Z</dcterms:modified>
</cp:coreProperties>
</file>